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svg" ContentType="image/svg+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tables/table18.xml" ContentType="application/vnd.openxmlformats-officedocument.spreadsheetml.table+xml"/>
  <Override PartName="/xl/tables/table13.xml" ContentType="application/vnd.openxmlformats-officedocument.spreadsheetml.table+xml"/>
  <Override PartName="/xl/tables/table23.xml" ContentType="application/vnd.openxmlformats-officedocument.spreadsheetml.table+xml"/>
  <Override PartName="/xl/tables/table20.xml" ContentType="application/vnd.openxmlformats-officedocument.spreadsheetml.table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tables/table14.xml" ContentType="application/vnd.openxmlformats-officedocument.spreadsheetml.table+xml"/>
  <Override PartName="/xl/sharedStrings.xml" ContentType="application/vnd.openxmlformats-officedocument.spreadsheetml.sharedStrings+xml"/>
  <Override PartName="/xl/tables/table30.xml" ContentType="application/vnd.openxmlformats-officedocument.spreadsheetml.table+xml"/>
  <Override PartName="/xl/tables/table27.xml" ContentType="application/vnd.openxmlformats-officedocument.spreadsheetml.table+xml"/>
  <Override PartName="/xl/tables/table29.xml" ContentType="application/vnd.openxmlformats-officedocument.spreadsheetml.table+xml"/>
  <Override PartName="/xl/tables/table24.xml" ContentType="application/vnd.openxmlformats-officedocument.spreadsheetml.table+xml"/>
  <Override PartName="/xl/theme/theme1.xml" ContentType="application/vnd.openxmlformats-officedocument.them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ables/table1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tables/table35.xml" ContentType="application/vnd.openxmlformats-officedocument.spreadsheetml.table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28.xml" ContentType="application/vnd.openxmlformats-officedocument.spreadsheetml.table+xml"/>
  <Override PartName="/xl/tables/table17.xml" ContentType="application/vnd.openxmlformats-officedocument.spreadsheetml.table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tables/table31.xml" ContentType="application/vnd.openxmlformats-officedocument.spreadsheetml.table+xml"/>
  <Override PartName="/xl/tables/table21.xml" ContentType="application/vnd.openxmlformats-officedocument.spreadsheetml.table+xml"/>
  <Override PartName="/xl/drawings/drawing3.xml" ContentType="application/vnd.openxmlformats-officedocument.drawing+xml"/>
  <Override PartName="/xl/tables/table32.xml" ContentType="application/vnd.openxmlformats-officedocument.spreadsheetml.table+xml"/>
  <Override PartName="/xl/worksheets/sheet3.xml" ContentType="application/vnd.openxmlformats-officedocument.spreadsheetml.worksheet+xml"/>
  <Override PartName="/xl/tables/table16.xml" ContentType="application/vnd.openxmlformats-officedocument.spreadsheetml.tabl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tables/table9.xml" ContentType="application/vnd.openxmlformats-officedocument.spreadsheetml.table+xml"/>
  <Override PartName="/customXml/itemProps2.xml" ContentType="application/vnd.openxmlformats-officedocument.customXmlProperties+xml"/>
  <Override PartName="/xl/tables/table3.xml" ContentType="application/vnd.openxmlformats-officedocument.spreadsheetml.table+xml"/>
  <Override PartName="/customXml/itemProps3.xml" ContentType="application/vnd.openxmlformats-officedocument.customXml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worksheets/sheet1.xml" ContentType="application/vnd.openxmlformats-officedocument.spreadsheetml.worksheet+xml"/>
  <Override PartName="/xl/tables/table11.xml" ContentType="application/vnd.openxmlformats-officedocument.spreadsheetml.table+xml"/>
  <Override PartName="/xl/drawings/drawing1.xml" ContentType="application/vnd.openxmlformats-officedocument.drawing+xml"/>
  <Override PartName="/xl/tables/table12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xl/tables/table25.xml" ContentType="application/vnd.openxmlformats-officedocument.spreadsheetml.table+xml"/>
  <Override PartName="/xl/drawings/drawing2.xml" ContentType="application/vnd.openxmlformats-officedocument.drawing+xml"/>
  <Override PartName="/xl/tables/table8.xml" ContentType="application/vnd.openxmlformats-officedocument.spreadsheetml.table+xml"/>
  <Override PartName="/xl/tables/table22.xml" ContentType="application/vnd.openxmlformats-officedocument.spreadsheetml.table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DieseArbeitsmappe"/>
  <bookViews>
    <workbookView xWindow="360" yWindow="15" windowWidth="20955" windowHeight="9720" activeTab="3"/>
  </bookViews>
  <sheets>
    <sheet name="Einleitung" sheetId="1" state="visible" r:id="rId6"/>
    <sheet name="Generelle Fragen LK-unabhängig" sheetId="2" state="visible" r:id="rId7"/>
    <sheet name="Leistungsklasse 1" sheetId="3" state="visible" r:id="rId8"/>
    <sheet name="Leistungsklasse 2" sheetId="4" state="visible" r:id="rId9"/>
    <sheet name="Leistungsklasse 3" sheetId="5" state="visible" r:id="rId10"/>
    <sheet name="Auswertung" sheetId="6" state="hidden" r:id="rId11"/>
    <sheet name="Hilfsabellen" sheetId="7" state="hidden" r:id="rId12"/>
  </sheets>
  <externalReferences>
    <externalReference r:id="rId1"/>
  </externalReferences>
  <definedNames>
    <definedName name="_Toc296687336" localSheetId="0">Einleitung!#REF!</definedName>
    <definedName name="_Toc296687337" localSheetId="0">Einleitung!$A$13</definedName>
    <definedName name="Dateiformat" localSheetId="0">'[1]Hilfsabellen'!$B$10:$B$11</definedName>
    <definedName name="Druckvolumen" localSheetId="0">'[1]Hilfsabellen'!$D$9:$D$11</definedName>
    <definedName name="Kopiergeschw." localSheetId="0">'[1]Hilfsabellen'!$J$14:$J$19</definedName>
    <definedName name="MFG" localSheetId="0">'[1]Hilfsabellen'!$D$22:$D$23</definedName>
    <definedName name="Papierformate" localSheetId="0">'[1]Hilfsabellen'!$F$22:$F$23</definedName>
    <definedName name="_Hlk422207418" localSheetId="2">'Leistungsklasse 1'!$A$7</definedName>
    <definedName name="_xlnm.Print_Area" localSheetId="2">'Leistungsklasse 1'!$A$5:$K$96</definedName>
    <definedName name="Print_Titles" localSheetId="2">'Leistungsklasse 1'!$5:$5</definedName>
    <definedName name="Z_66FA6860_4006_452F_8DD6_EABE98441561_.wvu.Cols" localSheetId="2" hidden="1">'Leistungsklasse 1'!$L:$M</definedName>
    <definedName name="Z_66FA6860_4006_452F_8DD6_EABE98441561_.wvu.PrintArea" localSheetId="2" hidden="1">'Leistungsklasse 1'!$A$2:$K$69</definedName>
    <definedName name="Z_66FA6860_4006_452F_8DD6_EABE98441561_.wvu.PrintTitles" localSheetId="2" hidden="1">'Leistungsklasse 1'!$5:$5</definedName>
    <definedName name="_Hlk422207418" localSheetId="3">'Leistungsklasse 2'!$A$7</definedName>
    <definedName name="_xlnm.Print_Area" localSheetId="3">'Leistungsklasse 2'!$A$2:$K$106</definedName>
    <definedName name="Print_Titles" localSheetId="3">'Leistungsklasse 2'!$5:$5</definedName>
    <definedName name="Z_66FA6860_4006_452F_8DD6_EABE98441561_.wvu.Cols" localSheetId="3" hidden="1">'Leistungsklasse 2'!$L:$M</definedName>
    <definedName name="Z_66FA6860_4006_452F_8DD6_EABE98441561_.wvu.PrintArea" localSheetId="3" hidden="1">'Leistungsklasse 2'!$A$2:$K$79</definedName>
    <definedName name="Z_66FA6860_4006_452F_8DD6_EABE98441561_.wvu.PrintTitles" localSheetId="3" hidden="1">'Leistungsklasse 2'!$5:$5</definedName>
    <definedName name="_Hlk422207418" localSheetId="4">'Leistungsklasse 3'!$A$7</definedName>
    <definedName name="_xlnm.Print_Area" localSheetId="4">'Leistungsklasse 3'!$A$5:$K$108</definedName>
    <definedName name="Print_Titles" localSheetId="4">'Leistungsklasse 3'!$5:$5</definedName>
    <definedName name="Z_66FA6860_4006_452F_8DD6_EABE98441561_.wvu.Cols" localSheetId="4" hidden="1">'Leistungsklasse 3'!$L:$M</definedName>
    <definedName name="Z_66FA6860_4006_452F_8DD6_EABE98441561_.wvu.PrintArea" localSheetId="4" hidden="1">'Leistungsklasse 3'!$A$2:$K$81</definedName>
    <definedName name="Z_66FA6860_4006_452F_8DD6_EABE98441561_.wvu.PrintTitles" localSheetId="4" hidden="1">'Leistungsklasse 3'!$5:$5</definedName>
    <definedName name="Auswertung">Hilfsabellen!$B$3:$B$4</definedName>
    <definedName name="Blattanzahl">Hilfsabellen!$F$3:$F$6</definedName>
    <definedName name="Dateiformat">Hilfsabellen!$B$9:$B$11</definedName>
    <definedName name="dpi">Hilfsabellen!$D$3:$D$5</definedName>
    <definedName name="Druckgeschw.">Hilfsabellen!$D$14:$D$19</definedName>
    <definedName name="Druckvolumen">Hilfsabellen!$D$9:$D$11</definedName>
    <definedName name="Duplexgrammatur">Hilfsabellen!$J$3:$J$5</definedName>
    <definedName name="Kopiergeschw.">Hilfsabellen!$J$14:$J$19</definedName>
    <definedName name="MFG">Hilfsabellen!$D$22:$D$23</definedName>
    <definedName name="Papierformate">Hilfsabellen!$F$22:$F$23</definedName>
    <definedName name="RAM">Hilfsabellen!$H$3:$H$5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<sst xmlns="http://schemas.openxmlformats.org/spreadsheetml/2006/main" count="374" uniqueCount="374">
  <si>
    <t xml:space="preserve">Bewertungsmatrix zur Ausschreibung der
TU Clausthal über Drucker und Multifunktionsgeräte 2027</t>
  </si>
  <si>
    <t xml:space="preserve">Hinweise und Ausführungen zum Ausfüllen der Bewertungsmatrix
Dieses Tabellenblatt dient lediglich der Dokumentation, hier erfolgt kein Eintrag.</t>
  </si>
  <si>
    <r>
      <rPr>
        <b/>
        <sz val="14"/>
        <color theme="1"/>
        <rFont val="Calibri"/>
        <scheme val="minor"/>
      </rPr>
      <t xml:space="preserve">Wichtiger Hinweis!
Beantworten Sie bitte die Fragen in allen nachfolgenden Tabellenblättern!
</t>
    </r>
    <r>
      <rPr>
        <b/>
        <sz val="11"/>
        <color theme="1"/>
        <rFont val="Calibri"/>
        <scheme val="minor"/>
      </rPr>
      <t xml:space="preserve">Sollte ein Zellhintergrund nach der Beantwortung einer Frage rot hervorgehoben werden:
Prüfen Sie, ob es sich um ein A-Kriterium (Spalte: Kriterienklassifizierung) handelt! Ein Beantworten der Fragen ist daher bspw. auch mit einer Rot/Grün-Sehschwäche möglich. Die Hervorhebung dient nur dem zusätzlichen Komfort.
Beachten Sie bitte: Handelt es sich um ein Ausschlusskriterium, wird eine Nichterfüllung dieses Kriteriums zum Ausschluss des Gerätes und damit zum Ausschluss des gesamten Ausschreibungs-Angebotes führen. </t>
    </r>
  </si>
  <si>
    <t xml:space="preserve">Die nachfolgenden Tabellenblätter enthalten standardisierte Tabellen. Je nach Geräteklasse (Drucker/Multifunktionsgerät) müssen unterschiedliche Kriterien erfüllt sowie Fragen beantwortet werden.</t>
  </si>
  <si>
    <t xml:space="preserve">Klassifizierung der Kriterien</t>
  </si>
  <si>
    <t>Kürzel</t>
  </si>
  <si>
    <t xml:space="preserve">Art und Bedeutung des Kriteriums</t>
  </si>
  <si>
    <t>A</t>
  </si>
  <si>
    <t>Ausschlusskriterium</t>
  </si>
  <si>
    <r>
      <t xml:space="preserve">Ausschlusskriterien müssen mit einem „Ja“ ohne Einschränkungen beantwortet werden. Die Nichterfüllung einer als Ausschlusskriterium gekennzeichneten Anforderung führt zum Ausschluss des </t>
    </r>
    <r>
      <rPr>
        <b/>
        <sz val="11"/>
        <color theme="1"/>
        <rFont val="Calibri"/>
        <scheme val="minor"/>
      </rPr>
      <t xml:space="preserve">gesamten Angebotes</t>
    </r>
    <r>
      <rPr>
        <sz val="11"/>
        <color theme="1"/>
        <rFont val="Calibri"/>
        <scheme val="minor"/>
      </rPr>
      <t xml:space="preserve"> (KO-Kriterium).</t>
    </r>
  </si>
  <si>
    <t>B</t>
  </si>
  <si>
    <r>
      <t xml:space="preserve">Bewertungskriterium
</t>
    </r>
    <r>
      <rPr>
        <sz val="11"/>
        <color theme="1"/>
        <rFont val="Calibri"/>
        <scheme val="minor"/>
      </rPr>
      <t xml:space="preserve">Die mit einem „B“ gekennzeichneten Anforderungen stellen die innerhalb der Bewertungsskala mit Punkten zu bewertenden Kriterien dar und erhalten eine Gewichtung.</t>
    </r>
  </si>
  <si>
    <t>I</t>
  </si>
  <si>
    <r>
      <rPr>
        <b/>
        <sz val="11"/>
        <color theme="1"/>
        <rFont val="Calibri"/>
        <scheme val="minor"/>
      </rPr>
      <t xml:space="preserve">Informationskriterium
</t>
    </r>
    <r>
      <rPr>
        <sz val="11"/>
        <color theme="1"/>
        <rFont val="Calibri"/>
        <scheme val="minor"/>
      </rPr>
      <t xml:space="preserve">Dieses Kriterium umfasst lediglich ergänzende Informationen, die dem Verständnis dienen und keinen Einfluss auf die Bewertung haben. Antworten auf I-Kriterien dürfen andere Antworten auf Bewertungskriterien oder Ausschlusskriterien nicht einschränken.</t>
    </r>
  </si>
  <si>
    <t xml:space="preserve">Art der Beantwortung</t>
  </si>
  <si>
    <t xml:space="preserve">Die Vergabeunterlagen erfordern die Beantwortung von Fragenkatalogen. Für die Art der Beantwortung von Fragen werden nachfolgende Anforderungen im Hinblick auf die erwartete Ausführlichkeit der Beantwortung der Kriterien dargestellt.</t>
  </si>
  <si>
    <t>D</t>
  </si>
  <si>
    <r>
      <t xml:space="preserve">Detaillierte Antwort
</t>
    </r>
    <r>
      <rPr>
        <sz val="11"/>
        <color theme="1"/>
        <rFont val="Calibri"/>
        <scheme val="minor"/>
      </rPr>
      <t xml:space="preserve">Die Ausführung der Antwort soll ausführlich und detailliert in einem der Fragestellung angemessenen Umfang erfolgen.</t>
    </r>
  </si>
  <si>
    <t>K</t>
  </si>
  <si>
    <r>
      <t xml:space="preserve">Kurze Antwort
</t>
    </r>
    <r>
      <rPr>
        <sz val="11"/>
        <color theme="1"/>
        <rFont val="Calibri"/>
        <scheme val="minor"/>
      </rPr>
      <t xml:space="preserve">Die Ausführung der Antwort kann kurz und knapp erfolgen (ca. 1 bis 2 Sätze).</t>
    </r>
  </si>
  <si>
    <t>E</t>
  </si>
  <si>
    <r>
      <t xml:space="preserve">Entscheidungsantwort
</t>
    </r>
    <r>
      <rPr>
        <sz val="11"/>
        <color theme="1"/>
        <rFont val="Calibri"/>
        <scheme val="minor"/>
      </rPr>
      <t xml:space="preserve">Die Antwort muss entweder „Ja“ oder „Nein“ lauten.</t>
    </r>
  </si>
  <si>
    <t xml:space="preserve">Beispielabbildung eines Eingabebereichs:</t>
  </si>
  <si>
    <r>
      <rPr>
        <b/>
        <sz val="11"/>
        <color theme="1"/>
        <rFont val="Calibri"/>
        <scheme val="minor"/>
      </rPr>
      <t xml:space="preserve">Für alle Felder gilt grundsätzlich:</t>
    </r>
    <r>
      <rPr>
        <sz val="11"/>
        <color theme="1"/>
        <rFont val="Calibri"/>
        <scheme val="minor"/>
      </rPr>
      <t xml:space="preserve">
Bei der Eingabe von Werten werden nur Zahlen erwartet.
Einheiten oder sonstige Ergänzungen,
wie z.B. %-Zeichen, bitte nicht eingeben!</t>
    </r>
  </si>
  <si>
    <t xml:space="preserve">Es folgt eine kurze Erläuterung zum Aufbau dieser Bewertungsmatrix, insbesondere der Spalten,
die in den Tabellenblättern genutzt werden.</t>
  </si>
  <si>
    <t>Referenz</t>
  </si>
  <si>
    <t>Kriterium</t>
  </si>
  <si>
    <t>Kriterienklassifizierung</t>
  </si>
  <si>
    <t>Beantwortungsart</t>
  </si>
  <si>
    <t xml:space="preserve">Nummerierung zwecks Referenzierung</t>
  </si>
  <si>
    <t xml:space="preserve">Beschreibung des Bewertungs-Kriteriums</t>
  </si>
  <si>
    <t xml:space="preserve">siehe nachfolgende Erläuterungen</t>
  </si>
  <si>
    <t xml:space="preserve">Erläuterung zur Beantwortungstiefe</t>
  </si>
  <si>
    <t xml:space="preserve">Werden charakterisierende Zahlenwerte verwendet beziehen sich die Einheiten immer auf physikalische Größen (Auflösung 600ppi interpoliert ≠ 600ppi physikalische Auflösung),</t>
  </si>
  <si>
    <t xml:space="preserve">1 GB(yte) = 1.024 MB(yte) = 1.048.576 kB(yte) = 1.073.741.824 B(yte)</t>
  </si>
  <si>
    <t>GP</t>
  </si>
  <si>
    <t xml:space="preserve">max. BP</t>
  </si>
  <si>
    <t xml:space="preserve">max. LP</t>
  </si>
  <si>
    <t xml:space="preserve">% Gesamt</t>
  </si>
  <si>
    <t>Gewichtungs-Punkte</t>
  </si>
  <si>
    <t>Bewertungs-Punkte</t>
  </si>
  <si>
    <t xml:space="preserve">maximale Anzahl der Leistungspunkte
(LP = GP × BP)</t>
  </si>
  <si>
    <t xml:space="preserve">Prozentwert der Kriterienbewertung bezogen auf alle vergebenen Leistungspunkte</t>
  </si>
  <si>
    <t xml:space="preserve">Beantwortung durch
den Bieter</t>
  </si>
  <si>
    <t xml:space="preserve">Unterkriterien der Vergabestelle</t>
  </si>
  <si>
    <t xml:space="preserve">Die Beantwortung erfolgt je nach der vorgesehenen Beantwortungsart durch Auswahl aus einem Dropdownfeld oder durch die Eingabe in dieses Feld</t>
  </si>
  <si>
    <r>
      <t xml:space="preserve">In diesem Feld werden die maximal erreichbaren Bewertungspunkte aufgeschlüsselt.
</t>
    </r>
    <r>
      <rPr>
        <b/>
        <sz val="11"/>
        <color theme="1"/>
        <rFont val="Calibri"/>
        <scheme val="minor"/>
      </rPr>
      <t>Beispiel:</t>
    </r>
    <r>
      <rPr>
        <sz val="11"/>
        <color theme="1"/>
        <rFont val="Calibri"/>
        <scheme val="minor"/>
      </rPr>
      <t xml:space="preserve">
&gt;= 1.024 MB = 10 Pkte.; 
&lt; 1.024 MB = 5 Pkte.;
512 MB = 0 Pkte.</t>
    </r>
  </si>
  <si>
    <t xml:space="preserve">Die Auswertung erfolgt nach der Angebotsöffnung anhand der erreichten Leistungspunkte.</t>
  </si>
  <si>
    <r>
      <rPr>
        <b/>
        <sz val="11"/>
        <color theme="1"/>
        <rFont val="Calibri"/>
        <scheme val="minor"/>
      </rPr>
      <t>Leistungspunkte:</t>
    </r>
    <r>
      <rPr>
        <sz val="11"/>
        <color theme="1"/>
        <rFont val="Calibri"/>
        <scheme val="minor"/>
      </rPr>
      <t xml:space="preserve"> 
Vergebene Bewertungspunkte multipliziert mit den Gewichtungspunkten.</t>
    </r>
  </si>
  <si>
    <r>
      <rPr>
        <b/>
        <sz val="11"/>
        <color theme="1"/>
        <rFont val="Calibri"/>
        <scheme val="minor"/>
      </rPr>
      <t>Bewertungspunkte:</t>
    </r>
    <r>
      <rPr>
        <sz val="11"/>
        <color theme="1"/>
        <rFont val="Calibri"/>
        <scheme val="minor"/>
      </rPr>
      <t xml:space="preserve"> Spektrum: 0-10 Punkte;
Die max. erreichbare Punktzahl für das Kriterium ist in der Spalte </t>
    </r>
    <r>
      <rPr>
        <i/>
        <sz val="11"/>
        <color theme="1"/>
        <rFont val="Calibri"/>
        <scheme val="minor"/>
      </rPr>
      <t xml:space="preserve">Unterkriterien der Vergabestelle</t>
    </r>
    <r>
      <rPr>
        <sz val="11"/>
        <color theme="1"/>
        <rFont val="Calibri"/>
        <scheme val="minor"/>
      </rPr>
      <t xml:space="preserve"> festgelegt.</t>
    </r>
  </si>
  <si>
    <r>
      <rPr>
        <b/>
        <sz val="11"/>
        <color theme="1"/>
        <rFont val="Calibri"/>
        <scheme val="minor"/>
      </rPr>
      <t>Gewichtungspunkte:</t>
    </r>
    <r>
      <rPr>
        <sz val="11"/>
        <color theme="1"/>
        <rFont val="Calibri"/>
        <scheme val="minor"/>
      </rPr>
      <t xml:space="preserve"> Spektrum 1-30.
Sie spiegeln den Wert und die Bedeutung des jeweiligen B-Kriteriums wieder.</t>
    </r>
  </si>
  <si>
    <t xml:space="preserve">Die Beanwortung der Fragen erfolgt in dieser Spalte.</t>
  </si>
  <si>
    <t xml:space="preserve">Die Kopfzeilen der Tabelle sind fixiert, so dass beim Durchscrollen der Fragen jederzeit die Überschriften zu sehen sind.</t>
  </si>
  <si>
    <t xml:space="preserve">Jedem Beantwortungsfeld ist ein Erläuterungshinweis zugewiesen. Der Hinweis wird angezeigt sobald das entsprechende Feld ausgewählt wird.</t>
  </si>
  <si>
    <t xml:space="preserve">Fragen zu Software, die der allgemeinen Administration aller Geräte dienen</t>
  </si>
  <si>
    <t>Kriterien-klassifi-zierung</t>
  </si>
  <si>
    <t>Beantwor-tungsart</t>
  </si>
  <si>
    <t xml:space="preserve">AUSWERTUNG
erreichte LP</t>
  </si>
  <si>
    <t>S</t>
  </si>
  <si>
    <t>Software</t>
  </si>
  <si>
    <t>S.1</t>
  </si>
  <si>
    <t xml:space="preserve">Externe Software</t>
  </si>
  <si>
    <t>S.1.1</t>
  </si>
  <si>
    <r>
      <rPr>
        <b/>
        <sz val="11"/>
        <color theme="1"/>
        <rFont val="Arial"/>
      </rPr>
      <t xml:space="preserve">Bieten Sie kostenlose Software an, die aus abgefragten Gerätedaten folgende Informationen darstellt bzw. entsprechende Berichte erzeugen kann:</t>
    </r>
    <r>
      <rPr>
        <sz val="11"/>
        <color theme="1"/>
        <rFont val="Arial"/>
      </rPr>
      <t xml:space="preserve">
- Hardware aus dem Rahmenvertrag, nach Gerätetyp
- Je Gerät Auflistung der Optionen (Finisher, RAM, etc.)
- Gerätenutzung für einen bestimmbaren Zeitraum
- Anzahl der gedruckten Seiten nach Gerät, Geräteklasse
- Fehlermeldungen nach Gerät und Monat.
</t>
    </r>
  </si>
  <si>
    <t xml:space="preserve">bitte wählen</t>
  </si>
  <si>
    <t xml:space="preserve">Ja = 10 Pkte.;
Nein = 0 Pkte.</t>
  </si>
  <si>
    <t>S.1.2</t>
  </si>
  <si>
    <t xml:space="preserve">Benennen und Beschreiben Sie die Software der Referenz S.1.1</t>
  </si>
  <si>
    <t xml:space="preserve">Die detaillierte Antwort im
Vergabeportal zusätzlich zu den
restlichen Unterlagen als Anlage
beifügen. Bitte eindeutig referenzieren auf den Fragepunkt (hier S.1.2).</t>
  </si>
  <si>
    <t>S.1.3</t>
  </si>
  <si>
    <t xml:space="preserve">Bieten Sie kostenlose Software zur Aufzeichnung und Auswertung von Betriebsunterbrechungen, Auslesen von Fehlerdateien sowie abrufbarer Fehlerhistorie an.</t>
  </si>
  <si>
    <t>S.1.4</t>
  </si>
  <si>
    <t xml:space="preserve">Benennen und Beschreiben Sie die Software der Referenz S.1.3</t>
  </si>
  <si>
    <t xml:space="preserve">Die detaillierte Antwort im
Vergabeportal zusätzlich zu den
restlichen Unterlagen als Anlage
beifügen. Bitte eindeutig referenzieren auf den Fragepunkt (hier S.1.4).</t>
  </si>
  <si>
    <t xml:space="preserve">Summe der maximal erreichbaren Punkte</t>
  </si>
  <si>
    <t xml:space="preserve">Leistungsklasse 1</t>
  </si>
  <si>
    <t xml:space="preserve">DIN A4 Farb-Gerät min. 20 S./min</t>
  </si>
  <si>
    <t>1</t>
  </si>
  <si>
    <t>SYSTEM</t>
  </si>
  <si>
    <t>1.1</t>
  </si>
  <si>
    <t>Systemdaten</t>
  </si>
  <si>
    <t>1.1.1</t>
  </si>
  <si>
    <t xml:space="preserve">Gerätebezeichnung und -typ</t>
  </si>
  <si>
    <t>1.1.2</t>
  </si>
  <si>
    <t xml:space="preserve">Abmessungen (Breite × Höhe × Tiefe)</t>
  </si>
  <si>
    <t>1.1.3</t>
  </si>
  <si>
    <t xml:space="preserve">Es handelt sich um ein Farbgerät</t>
  </si>
  <si>
    <t>1.1.4</t>
  </si>
  <si>
    <r>
      <t xml:space="preserve">Gerät ist ausgelegt für Druckvolumen von min. </t>
    </r>
    <r>
      <rPr>
        <b/>
        <sz val="11"/>
        <color theme="1"/>
        <rFont val="Arial"/>
      </rPr>
      <t xml:space="preserve">2.000 Seiten/Monat</t>
    </r>
  </si>
  <si>
    <t>1.1.5</t>
  </si>
  <si>
    <t xml:space="preserve">Das Gerät verfügt über min. 512 MB RAM</t>
  </si>
  <si>
    <t>1.1.6</t>
  </si>
  <si>
    <t xml:space="preserve">Das Gerät verfügt über … MB RAM</t>
  </si>
  <si>
    <t xml:space="preserve">&gt;= 1.024 MB = 10 Pkte.; 
&lt; 1.024 MB = 5 Pkte.;
512 MB = 0 Pkte.</t>
  </si>
  <si>
    <t>1.1.7</t>
  </si>
  <si>
    <t xml:space="preserve">Das Gerät verfügt über ein internes Speichermedium</t>
  </si>
  <si>
    <t>1.1.8</t>
  </si>
  <si>
    <t xml:space="preserve">Das Gerät unterstützt SNMP V3 (Abfrage des Gerätestatus min. für folgende Parameter möglich: Tonerstatus, Papierstatus, anstehende Druckaufträge, alle Zählerstände).</t>
  </si>
  <si>
    <t>1.1.9</t>
  </si>
  <si>
    <t xml:space="preserve">Herstellerspezifische MIBs werden kostenfrei zur Verfügung gestellt.</t>
  </si>
  <si>
    <t>1.1.10</t>
  </si>
  <si>
    <t xml:space="preserve">Das Gerät kann RFID-Karten Mifare® DESFire sowie NFC (z.B. Smartphones) - bspw. über einen zusätzlich angeschlossenen Kartenleser -  auslesen und zur Interaktion mit Papercut-MF genutzt werden.</t>
  </si>
  <si>
    <t>1.2</t>
  </si>
  <si>
    <t xml:space="preserve">Systemanschlüsse und –voraussetzungen</t>
  </si>
  <si>
    <t>1.2.1</t>
  </si>
  <si>
    <t xml:space="preserve">Anschlusstechnik - min. 100BaseTX-Schnittstelle</t>
  </si>
  <si>
    <t>1.2.2</t>
  </si>
  <si>
    <t xml:space="preserve">Anschlusstechnik - 100/1000BaseTX-Schnittstelle</t>
  </si>
  <si>
    <t>1.2.3</t>
  </si>
  <si>
    <t xml:space="preserve">Anschlusstechnik - USB 2-Schnittstelle</t>
  </si>
  <si>
    <t>1.2.4</t>
  </si>
  <si>
    <t xml:space="preserve">Anschlusstechnik - USB 3-Schnittstelle</t>
  </si>
  <si>
    <t>1.2.5</t>
  </si>
  <si>
    <t xml:space="preserve">Das Gerät unterstützt 802.1x (Authentifizierung)</t>
  </si>
  <si>
    <t>1.2.6</t>
  </si>
  <si>
    <t xml:space="preserve">Das Gerät unterstützt IPsec</t>
  </si>
  <si>
    <t>1.3</t>
  </si>
  <si>
    <t>Normen</t>
  </si>
  <si>
    <t>1.3.1</t>
  </si>
  <si>
    <t xml:space="preserve">Gerät verfügt über gültige CE-Zertifizierung.
Der Auftragnehmer hat auf Anfrage des Auftraggebers eine EU-Konformitätserklärung zur Verfügung zu stellen. Diese hat die Bestätigung über die Konformität des Produktes zu den anwendbaren Anforderungen und Schutzzielen der EU-Richtlinien zu beinhalten.</t>
  </si>
  <si>
    <t>1.3.2</t>
  </si>
  <si>
    <t xml:space="preserve">Die Anforderungen an die Aussendung elektrischer und magnetischer Felder müssen in Übereinstimmung mit der CE-Kennzeichnung erfüllt sein. (Störaussendung nach DIN EN 550022, Störfestigkeit nach DIN EN 55024)</t>
  </si>
  <si>
    <t>1.4</t>
  </si>
  <si>
    <t>Ergänzungen</t>
  </si>
  <si>
    <t>1.4.1</t>
  </si>
  <si>
    <t xml:space="preserve">Unterschrank ist erhältlich</t>
  </si>
  <si>
    <t>2</t>
  </si>
  <si>
    <t>MEDIENVERARBEITUNG</t>
  </si>
  <si>
    <t>2.1</t>
  </si>
  <si>
    <t>Drucken</t>
  </si>
  <si>
    <t>2.1.1</t>
  </si>
  <si>
    <r>
      <t xml:space="preserve">Druckgeschwindigkeit von min. </t>
    </r>
    <r>
      <rPr>
        <b/>
        <sz val="11"/>
        <color theme="1"/>
        <rFont val="Arial"/>
      </rPr>
      <t xml:space="preserve">20 Seiten/Minute Farbe</t>
    </r>
    <r>
      <rPr>
        <sz val="11"/>
        <color theme="1"/>
        <rFont val="Arial"/>
      </rPr>
      <t xml:space="preserve"> (DIN A4)</t>
    </r>
  </si>
  <si>
    <t>2.1.2</t>
  </si>
  <si>
    <t xml:space="preserve">Gerät unterstützt PCL 6</t>
  </si>
  <si>
    <t>2.1.3</t>
  </si>
  <si>
    <t xml:space="preserve">Gerät unterstützt PS Level 3</t>
  </si>
  <si>
    <t>2.1.4</t>
  </si>
  <si>
    <t xml:space="preserve">Bei Pos. 2.1.3 handelt es sich um ein lizensiertes Original PostScript-Modul</t>
  </si>
  <si>
    <t>2.1.5</t>
  </si>
  <si>
    <t xml:space="preserve">Das Gerät unterstützt beidseitigen Druck (min. 80 g/m²)</t>
  </si>
  <si>
    <t>2.1.6</t>
  </si>
  <si>
    <t xml:space="preserve">Das Gerät unterstützt im beidseitigen Druck Grammaturen bis zu … g/m²</t>
  </si>
  <si>
    <t xml:space="preserve">&gt;=160 g/m² = 10 Pkte.;
&gt;=120 g/m² = 5 Pkte.;
&gt;=100 g/m² = 2 Pkte.;
&lt;100 g/m² = 0 Pkte.</t>
  </si>
  <si>
    <t>2.1.7</t>
  </si>
  <si>
    <t xml:space="preserve">Die Druckgeschwindigkeit des Gerätes im beidseitigen Druck beträgt …% der nominellen Druckgeschwindigkeit</t>
  </si>
  <si>
    <t xml:space="preserve">100% = 10 Pkte.;
&gt;=60% = 5 Pkte.;
&lt;60% = 0 Pkte.</t>
  </si>
  <si>
    <t>2.1.8</t>
  </si>
  <si>
    <t xml:space="preserve">Das Gerät verfügt über eine Funktion - "sicherer Druck" (Zertifizierung gemäß ISO/IEC 15408 EAL3)</t>
  </si>
  <si>
    <t>2.1.9</t>
  </si>
  <si>
    <t xml:space="preserve">Die Ausdrucke des Geräts sind dokumentenecht nach §29 der Dienstordnung für Notare (DONot)</t>
  </si>
  <si>
    <t>2.2</t>
  </si>
  <si>
    <t xml:space="preserve">Input Papierverarbeitung / -Management</t>
  </si>
  <si>
    <t>2.2.1</t>
  </si>
  <si>
    <t xml:space="preserve">Das Gerät verfügt über mindestens zwei Papierkassetten,
mit min. 200 Blatt à 80 g/m² Papier</t>
  </si>
  <si>
    <t>2.2.2</t>
  </si>
  <si>
    <t xml:space="preserve">Das Gerät verfügt über eine manuelle Blattzufuhr, über die Papier mit bis zu 160 g/m² verarbeitet werden kann.</t>
  </si>
  <si>
    <t>2.2.3</t>
  </si>
  <si>
    <r>
      <t xml:space="preserve">Über die manuelle Blattzufuhr können Materialstärken über 160 g/m</t>
    </r>
    <r>
      <rPr>
        <vertAlign val="superscript"/>
        <sz val="11"/>
        <color theme="1"/>
        <rFont val="Arial"/>
      </rPr>
      <t>2</t>
    </r>
    <r>
      <rPr>
        <sz val="11"/>
        <color theme="1"/>
        <rFont val="Arial"/>
      </rPr>
      <t xml:space="preserve"> verarbeitet werden bis zu einer Stärke von…</t>
    </r>
  </si>
  <si>
    <t xml:space="preserve">&gt;=300 g/m² = 10 Pkte.;
&gt;=250 g/m² = 5 Pkte.;
&gt;=200 g/m² = 2 Pkte.;
&lt;200 g/m² = 0 Pkte.</t>
  </si>
  <si>
    <t>2.2.4</t>
  </si>
  <si>
    <t xml:space="preserve">Das Gerät verfügt über mindestens zwei Papierkassetten mit einer Kapazität von je min. 250 Blatt à 80 g/m² Papier</t>
  </si>
  <si>
    <t>2.2.5</t>
  </si>
  <si>
    <t xml:space="preserve">Die Kapazität der Papierkassetten bei 80 g/m² Papier beträgt bis zu … Blatt</t>
  </si>
  <si>
    <t>2.2.6</t>
  </si>
  <si>
    <t xml:space="preserve">Das Gerät kann aus den Papierkassetten Druckmedien mit einer Grammatur von 75-120 g/m² verarbeiten.</t>
  </si>
  <si>
    <t>2.2.7</t>
  </si>
  <si>
    <t xml:space="preserve">Mit wie vielen Papierkassetten kann das Gerät maximal ausgestattet werden?</t>
  </si>
  <si>
    <t>2.3</t>
  </si>
  <si>
    <t xml:space="preserve">Output Papierverarbeitung / -Management</t>
  </si>
  <si>
    <t>2.3.1</t>
  </si>
  <si>
    <r>
      <t xml:space="preserve">Die Standardausgabekapazität der Ablage umfasst min. </t>
    </r>
    <r>
      <rPr>
        <b/>
        <sz val="11"/>
        <rFont val="Arial"/>
      </rPr>
      <t xml:space="preserve">200 Blatt</t>
    </r>
    <r>
      <rPr>
        <sz val="11"/>
        <rFont val="Arial"/>
      </rPr>
      <t xml:space="preserve"> bei 80 g/m²</t>
    </r>
  </si>
  <si>
    <t>2.3.2</t>
  </si>
  <si>
    <t xml:space="preserve">Die Standardausgabekapazität der Ablage umfasst max. ... Blatt bei 80 g/m²</t>
  </si>
  <si>
    <t xml:space="preserve">&gt;=500 = 10 Pkte.;
&gt;200 = 5 Pkte.;
=200 = 0 Pkte.</t>
  </si>
  <si>
    <t>3</t>
  </si>
  <si>
    <t xml:space="preserve">Umwelt &amp; Emissionen</t>
  </si>
  <si>
    <t>3.1</t>
  </si>
  <si>
    <t xml:space="preserve">Erfüllung der Anforderungen des ENERGY STAR</t>
  </si>
  <si>
    <t>3.1.1</t>
  </si>
  <si>
    <t xml:space="preserve">Gerät erfüllt mindestens die aktuell gültigen Anforderungen des ENERGY STAR-Programms für Bürogeräte oder vergleichbar</t>
  </si>
  <si>
    <t>3.1.2</t>
  </si>
  <si>
    <t xml:space="preserve">Angabe des typischen Stromverbrauchs pro Woche (TEC) gem. ENERGY STAR (for Imaging Equipment Ver. 2.0 oder neuer) oder vergleichbar</t>
  </si>
  <si>
    <t xml:space="preserve">Wird bei der Ermittlung des Preises berücksichtigt (siehe Vertrag Punkt 5.5 Preisermittlung)</t>
  </si>
  <si>
    <t>3.1.3</t>
  </si>
  <si>
    <t xml:space="preserve">Der TEC-Wert bezieht sich auf welcher ENERGY STAR Version?</t>
  </si>
  <si>
    <t xml:space="preserve">Beantwortung zur Bewertung des TEC-Wertes in Punkt 3.1.2 notwendig</t>
  </si>
  <si>
    <t>3.2</t>
  </si>
  <si>
    <t>Umwelt</t>
  </si>
  <si>
    <t>3.2.1</t>
  </si>
  <si>
    <t xml:space="preserve">Das Gerät kann Recyclingpapier verarbeiten (EN 12281:2002)</t>
  </si>
  <si>
    <t>3.2.2</t>
  </si>
  <si>
    <t xml:space="preserve">Erfüllung der aktuellen Anforderungen des Blauen Engels (RAL-UZ-219) oder vergleichbar</t>
  </si>
  <si>
    <t>4</t>
  </si>
  <si>
    <t>4.1</t>
  </si>
  <si>
    <t>4.1.1</t>
  </si>
  <si>
    <t xml:space="preserve">Unterstützt werden aktuelle Versionen von Microsoft Windows (derzeit Windows 11) und aktuelle Versionen von Microsoft Windows Server (derzeit 2019, 2022, 2025), aktuelle Versionen von Apple Mac OS (derzeit 15-27), aktuelle Versionen gängiger Linux-Distributionen, vorrangig Debian und Ubuntu (derzeit Debian 13 und Ubuntu 24.04 LTS/26.04 LTS), sowie während der Laufzeit dieser Vereinbarung erscheinenden Folgeversionen der benannten Betriebssysteme</t>
  </si>
  <si>
    <t>4.1.2</t>
  </si>
  <si>
    <t xml:space="preserve">	Der Status des Geräts ist über eine unentgeltlich zur Verfügung gestellte zentrale Management-Software überprüfbar. Funktionale Mindestanforderungen: Auslesen der gerätespezifischen Daten (Typ, Seriennummer, Konfiguration, Zubehör, Netzwerkparameter, Zähler- und Tonerstände) und Dateisicherung der Daten. Der Export als Excel/CSV-Datei muss möglich sein.	</t>
  </si>
  <si>
    <t>4.1.3</t>
  </si>
  <si>
    <t xml:space="preserve">Das Gerät kann über eine zentrale Management-Software konfiguriert und administriert werden (gerätespezifische Daten, z. B. Pflege der lokalen Ansprechpartner, Konfiguration Ein- und Ausgabefächer, Netzwerkparameter, etc.).  Die spezifischen Konfigurationseinstellungen eines Gerätes können gesichert und auf ein anderes Gerät übertragen werden.</t>
  </si>
  <si>
    <t>4.2</t>
  </si>
  <si>
    <t xml:space="preserve">Interne Software</t>
  </si>
  <si>
    <t>4.2.1</t>
  </si>
  <si>
    <t xml:space="preserve">Das Gerät verfügt über ein zugriffsgeschütztes Webinterface, über das es konfiguriert und administriert werden kann. Der Zugriff auf die Weboberfläche erfolgt per https-Protokoll, Version TLS 1.2 in Kombination mit Perfect Forward Secrecy (PFS) oder die Version TLS 1.3 mit PFS. </t>
  </si>
  <si>
    <t>4.2.2</t>
  </si>
  <si>
    <t xml:space="preserve">Eine Connector-Lösung zur Anbindung des Systems an Papercut MF (für Abrechnung, Authentifizierung, Follow-Me-Printing) kann eingebunden werden.</t>
  </si>
  <si>
    <t>5</t>
  </si>
  <si>
    <t xml:space="preserve">Allgemeine Voraussetzungen Multifunktionsgeräte</t>
  </si>
  <si>
    <t>5.1</t>
  </si>
  <si>
    <t>Scannen</t>
  </si>
  <si>
    <t>5.1.1</t>
  </si>
  <si>
    <t xml:space="preserve">Gerät erstellt farbige Scans</t>
  </si>
  <si>
    <t>5.1.2</t>
  </si>
  <si>
    <t xml:space="preserve">Vorlageneinzug von min. 50 Blatt à 80 g/m² </t>
  </si>
  <si>
    <t>5.1.3</t>
  </si>
  <si>
    <t xml:space="preserve">Vorlageneinzug von mehr als 50 Blatt à 80 g/m² (Angabe der maximalen Anzahl)</t>
  </si>
  <si>
    <t xml:space="preserve">&gt;=100 = 10 Pkte.;
&gt;=75 = 5 Pkte.;
&gt;50 = 2 Pkte.;
50 = 0 Pkte.</t>
  </si>
  <si>
    <t>5.1.4</t>
  </si>
  <si>
    <t xml:space="preserve">Auflösung des Scans in Farbe von min. 600 x 600 ppi</t>
  </si>
  <si>
    <t>5.1.5</t>
  </si>
  <si>
    <t xml:space="preserve">Angabe der max. möglichen optischen Auflösung</t>
  </si>
  <si>
    <t xml:space="preserve">&gt;=1200 dpi = 10 Pkte.;
&gt;600 dpi = 5 Pkte.;
600 dpi = 0 Pkte.</t>
  </si>
  <si>
    <t>5.1.6</t>
  </si>
  <si>
    <t xml:space="preserve">Gerät verfügt über die Fähigkeit beidseitig bedruckte Seiten zu erfassen.</t>
  </si>
  <si>
    <t>5.1.7</t>
  </si>
  <si>
    <t xml:space="preserve">Gerät verfügt über 2 Sensorleisten, um beidseitig bedruckte Seiten in einem Durchgang zu erfassen.</t>
  </si>
  <si>
    <t>5.1.8</t>
  </si>
  <si>
    <t xml:space="preserve">Technologie der Flachbett-Scaneinheit: CIS oder CCD?</t>
  </si>
  <si>
    <t xml:space="preserve">CCD = 10 Pkte.;
CIS = 0 Pkte.</t>
  </si>
  <si>
    <t>5.1.9</t>
  </si>
  <si>
    <r>
      <t xml:space="preserve">Wie viele Seiten/min kann das Gerät </t>
    </r>
    <r>
      <rPr>
        <b/>
        <sz val="11"/>
        <color theme="1"/>
        <rFont val="Arial"/>
      </rPr>
      <t xml:space="preserve">einseitig </t>
    </r>
    <r>
      <rPr>
        <sz val="11"/>
        <color theme="1"/>
        <rFont val="Arial"/>
      </rPr>
      <t>scannen?</t>
    </r>
  </si>
  <si>
    <t xml:space="preserve">&gt;=50 S./min = 10 Pkte.;
&gt;=40 S./min = 8 Pkte.;
&gt;=30 S./min = 6 Pkte.;
&gt;20 S./min = 4 Pkte.;
&lt;=20 S./min = 0 Pkte.</t>
  </si>
  <si>
    <t>5.1.10</t>
  </si>
  <si>
    <r>
      <t xml:space="preserve">Wie viele Seiten/min kann das Gerät </t>
    </r>
    <r>
      <rPr>
        <b/>
        <sz val="11"/>
        <color theme="1"/>
        <rFont val="Arial"/>
      </rPr>
      <t>beidseitig</t>
    </r>
    <r>
      <rPr>
        <sz val="11"/>
        <color theme="1"/>
        <rFont val="Arial"/>
      </rPr>
      <t xml:space="preserve"> scannen?</t>
    </r>
  </si>
  <si>
    <t>5.1.11</t>
  </si>
  <si>
    <t xml:space="preserve">Gerät verfügt über Funktion - Scan-to-Mail</t>
  </si>
  <si>
    <t>5.1.12</t>
  </si>
  <si>
    <t xml:space="preserve">Gerät verfügt über Funktion - Scan-to-Folder (SMB Ver. 3.X)</t>
  </si>
  <si>
    <t>5.1.13</t>
  </si>
  <si>
    <t xml:space="preserve">Gerät verfügt über Funktion - Scan-to-Application</t>
  </si>
  <si>
    <t>5.1.14</t>
  </si>
  <si>
    <t xml:space="preserve">Gerät verfügt über Funktion - Scan-to-WEBDAV</t>
  </si>
  <si>
    <t>5.1.15</t>
  </si>
  <si>
    <t xml:space="preserve">Gerät erstellt Dateien in den Formaten: PDF, TIFF, JPG</t>
  </si>
  <si>
    <t>5.1.16</t>
  </si>
  <si>
    <t xml:space="preserve">Gerät erstellt PDF-Dateien im Format PDF/A</t>
  </si>
  <si>
    <t>5.1.17</t>
  </si>
  <si>
    <t xml:space="preserve">Die Verwendung der JBIG2-Komprimierung bei der Dateierstellung ist ausgeschlossen.</t>
  </si>
  <si>
    <t>5.1.18</t>
  </si>
  <si>
    <t xml:space="preserve">Gerät erstellt durchsuchbare PDF-Dateien (OCR-Erkennung)</t>
  </si>
  <si>
    <t>5.1.19</t>
  </si>
  <si>
    <t xml:space="preserve">Kann während des Scanvorgangs parallel ein Druckauftrag ausgegeben werden?</t>
  </si>
  <si>
    <t>5.1.20</t>
  </si>
  <si>
    <t xml:space="preserve">Die Vorgaben und Anforderungen der TR RESISCAN werden erfüllt</t>
  </si>
  <si>
    <t>5.2</t>
  </si>
  <si>
    <t>Kopieren</t>
  </si>
  <si>
    <t>5.2.1</t>
  </si>
  <si>
    <r>
      <t xml:space="preserve">Kopiergeschwindigkeit von min. </t>
    </r>
    <r>
      <rPr>
        <b/>
        <sz val="11"/>
        <color theme="1"/>
        <rFont val="Arial"/>
      </rPr>
      <t xml:space="preserve">20 Seiten/Minute</t>
    </r>
    <r>
      <rPr>
        <sz val="11"/>
        <color theme="1"/>
        <rFont val="Arial"/>
      </rPr>
      <t xml:space="preserve"> Farbe (DIN A4)</t>
    </r>
  </si>
  <si>
    <t>5.2.2</t>
  </si>
  <si>
    <t xml:space="preserve">Auflösung der Kopie von min. 600 x 600 dpi</t>
  </si>
  <si>
    <t>5.2.3</t>
  </si>
  <si>
    <t xml:space="preserve">Max. Auflösung der Kopie …</t>
  </si>
  <si>
    <t>5.2.4</t>
  </si>
  <si>
    <t xml:space="preserve">Gerät verfügt über Funktion - Duplexkopie  (min. 80 g/m²)</t>
  </si>
  <si>
    <t>5.2.5</t>
  </si>
  <si>
    <t xml:space="preserve">Gerät verfügt über Funktion - Zoom von x bis y (50 - 200%)</t>
  </si>
  <si>
    <t xml:space="preserve">Leistungsklasse 2</t>
  </si>
  <si>
    <t xml:space="preserve">DIN A3 Farb-Gerät min. 30 S./min</t>
  </si>
  <si>
    <r>
      <t xml:space="preserve">Gerät ist ausgelegt für Druckvolumen von min. </t>
    </r>
    <r>
      <rPr>
        <b/>
        <sz val="11"/>
        <color theme="1"/>
        <rFont val="Arial"/>
      </rPr>
      <t xml:space="preserve">10.000 Seiten/Monat</t>
    </r>
  </si>
  <si>
    <t xml:space="preserve">Das Gerät kann DIN A3-Formate verarbeiten</t>
  </si>
  <si>
    <t xml:space="preserve">Das Gerät verfügt über min. 2048 MB RAM</t>
  </si>
  <si>
    <t xml:space="preserve">&gt;= 4096 MB = 10 Pkte.; 
&lt; 4096 MB = 5 Pkte.;
2048 MB = 0 Pkte.</t>
  </si>
  <si>
    <t>1.1.11</t>
  </si>
  <si>
    <t xml:space="preserve">Das Gerät kann RFID-Karten Mifare® DESFire sowie NFC (z.B. Smartphones) - bspw. über einen zusätzlich angeschlossenen Kartenleser -  auslesen und zur Interaktion mit Papercut-MF nutzen.</t>
  </si>
  <si>
    <t xml:space="preserve">Ergänzungen / Zubehör</t>
  </si>
  <si>
    <t xml:space="preserve">Unterschrank mit Rollen ist erhältlich </t>
  </si>
  <si>
    <r>
      <t xml:space="preserve">Druckgeschwindigkeit von min. </t>
    </r>
    <r>
      <rPr>
        <b/>
        <sz val="11"/>
        <color theme="1"/>
        <rFont val="Arial"/>
      </rPr>
      <t xml:space="preserve">30 Seiten/Minute Farbe</t>
    </r>
    <r>
      <rPr>
        <sz val="11"/>
        <color theme="1"/>
        <rFont val="Arial"/>
      </rPr>
      <t xml:space="preserve"> (DIN A4)</t>
    </r>
  </si>
  <si>
    <t xml:space="preserve">Das Gerät verfügt über mindestens zwei Papierkassetten,
mit min. 500 Blatt à 80 g/m² Papier</t>
  </si>
  <si>
    <t xml:space="preserve">Das Gerät verfügt über eine manuelle Blattzufuhr, über die Papier mit bis zu 250 g/m² verarbeitet werden kann.</t>
  </si>
  <si>
    <r>
      <t xml:space="preserve">Über die manuelle Blattzufuhr können Materialstärken über 250 g/m</t>
    </r>
    <r>
      <rPr>
        <vertAlign val="superscript"/>
        <sz val="11"/>
        <color theme="1"/>
        <rFont val="Arial"/>
      </rPr>
      <t>2</t>
    </r>
    <r>
      <rPr>
        <sz val="11"/>
        <color theme="1"/>
        <rFont val="Arial"/>
      </rPr>
      <t xml:space="preserve"> verarbeitet werden bis zu einer Stärke von…</t>
    </r>
  </si>
  <si>
    <t xml:space="preserve">&gt;=300 g/m² = 10 Pkte.;
&gt;250 g/m² = 5 Pkte.;
=250 g/m² = 0 Pkte.</t>
  </si>
  <si>
    <t xml:space="preserve">Das Gerät kann aus den Papierkassetten Druckmedien mit einer Grammatur von 75-160 g/m² verarbeiten.</t>
  </si>
  <si>
    <t xml:space="preserve">Das Gerät kann aus den Papierkassetten folgende Druckmedien verarbeiten: Papier, Etiketten, Umschläge DIN C6 + DIN lang</t>
  </si>
  <si>
    <t xml:space="preserve">Mit wie vielen Papierkassetten (min. 500 Blatt) kann das Gerät maximal ausgestattet werden?</t>
  </si>
  <si>
    <t>2.2.8</t>
  </si>
  <si>
    <t xml:space="preserve">Das Gerät kann mit einem Großraumpapiermagazin
(min. 1.000 Blatt bei 80 g/m²) ausgestattet werden</t>
  </si>
  <si>
    <t>2.2.9</t>
  </si>
  <si>
    <t xml:space="preserve">Die max. Kapazität des Großraumpapiermagazins bei 80 g/m² Papier beträgt
bis zu … Blatt</t>
  </si>
  <si>
    <r>
      <t xml:space="preserve">Die Standardausgabekapazität der Ablage umfasst min. </t>
    </r>
    <r>
      <rPr>
        <b/>
        <sz val="11"/>
        <color theme="1"/>
        <rFont val="Arial"/>
      </rPr>
      <t xml:space="preserve">500 Blatt</t>
    </r>
    <r>
      <rPr>
        <sz val="11"/>
        <color theme="1"/>
        <rFont val="Arial"/>
      </rPr>
      <t xml:space="preserve"> bei 80 g/m²</t>
    </r>
  </si>
  <si>
    <t xml:space="preserve">&gt;=750 = 10 Pkte.;
&gt;500 = 5 Pkte.;
=500 = 0 Pkte.</t>
  </si>
  <si>
    <t>2.3.3</t>
  </si>
  <si>
    <t xml:space="preserve">Heftfinisher, 500 Blatt Ausgabe, 50 Blatt Heftkapazität</t>
  </si>
  <si>
    <t>2.3.4</t>
  </si>
  <si>
    <t xml:space="preserve">Heftfinisher, 1.000 Blatt Ausgabe, 50 Blatt Heftkapazität</t>
  </si>
  <si>
    <t>2.3.5</t>
  </si>
  <si>
    <t xml:space="preserve">Heftfinisher, &gt;1.000 Blatt Ausgabe, &gt;50 Blatt Heftkapazität</t>
  </si>
  <si>
    <t>2.3.6</t>
  </si>
  <si>
    <t xml:space="preserve">Broschürenfinisher für Endformat DIN A5 bis zu 60 Seiten Broschüre</t>
  </si>
  <si>
    <t>2.3.7</t>
  </si>
  <si>
    <t>Heftklammereinheit</t>
  </si>
  <si>
    <t>2.3.8</t>
  </si>
  <si>
    <t xml:space="preserve">Locheinheit, 2-fach</t>
  </si>
  <si>
    <t>2.3.9</t>
  </si>
  <si>
    <t xml:space="preserve">Locheinheit, 4-fach</t>
  </si>
  <si>
    <t>3.2.3</t>
  </si>
  <si>
    <t xml:space="preserve">Das klammerlose Heften ist möglich</t>
  </si>
  <si>
    <t xml:space="preserve">Der Status des Geräts ist über eine unentgeltlich zur Verfügung gestellte zentrale Management-Software überprüfbar. Funktionale Mindestanforderungen: Auslesen der gerätespezifischen Daten (Typ, Seriennummer, Konfiguration, Zubehör, Netzwerkparameter, Zähler- und Tonerstände) und Dateisicherung der Daten. Der Export als Excel/CSV-Datei muss möglich sein.	</t>
  </si>
  <si>
    <t xml:space="preserve">Das Gerät verfügt über ein zugriffsgeschütztes Webinterface, über das es konfiguriert und administriert werden kann. Der Zugriff auf die Weboberfläche erfolgt per https-Protokoll, Version TLS 1.2 in Kombination mit Perfect Forward Secrecy (PFS) oder die Version TLS 1.3 mit PFS.</t>
  </si>
  <si>
    <t xml:space="preserve">&gt;= 1200 dpi = 10 Pkte.;
&gt;600 dpi = 5 Pkte.;
600 dpi = 0 Pkte.</t>
  </si>
  <si>
    <r>
      <t xml:space="preserve">Kopiergeschwindigkeit von min. </t>
    </r>
    <r>
      <rPr>
        <b/>
        <sz val="11"/>
        <color theme="1"/>
        <rFont val="Arial"/>
      </rPr>
      <t xml:space="preserve">30 Seiten/Minute</t>
    </r>
    <r>
      <rPr>
        <sz val="11"/>
        <color theme="1"/>
        <rFont val="Arial"/>
      </rPr>
      <t xml:space="preserve"> Farbe (DIN A4)</t>
    </r>
  </si>
  <si>
    <t xml:space="preserve">Leistungsklasse 3</t>
  </si>
  <si>
    <t xml:space="preserve">DIN A3 Farb-Gerät min. 45 S./min</t>
  </si>
  <si>
    <r>
      <t xml:space="preserve">Gerät ist ausgelegt für Druckvolumen von min. </t>
    </r>
    <r>
      <rPr>
        <b/>
        <sz val="11"/>
        <color theme="1"/>
        <rFont val="Arial"/>
      </rPr>
      <t xml:space="preserve">35.000 Seiten/Monat</t>
    </r>
  </si>
  <si>
    <t xml:space="preserve">Unterschrank mit Rollen ist erhältlich</t>
  </si>
  <si>
    <t>1.4.2</t>
  </si>
  <si>
    <t xml:space="preserve">Eine Versatzablage ist integriert oder als Zubehörteil erhältlich</t>
  </si>
  <si>
    <r>
      <t xml:space="preserve">Druckgeschwindigkeit von min. </t>
    </r>
    <r>
      <rPr>
        <b/>
        <sz val="11"/>
        <color theme="1"/>
        <rFont val="Arial"/>
      </rPr>
      <t xml:space="preserve">45 Seiten/Minute Farbe</t>
    </r>
    <r>
      <rPr>
        <sz val="11"/>
        <color theme="1"/>
        <rFont val="Arial"/>
      </rPr>
      <t xml:space="preserve"> (DIN A4)</t>
    </r>
  </si>
  <si>
    <t xml:space="preserve">Das Gerät verfügt über eine manuelle Blattzufuhr, über die Papier mit bis zu 300 g/m² verarbeitet werden kann.</t>
  </si>
  <si>
    <r>
      <t xml:space="preserve">Das Gerät kann mit einem </t>
    </r>
    <r>
      <rPr>
        <b/>
        <sz val="11"/>
        <color theme="1"/>
        <rFont val="Arial"/>
      </rPr>
      <t>seitlichen</t>
    </r>
    <r>
      <rPr>
        <sz val="11"/>
        <color theme="1"/>
        <rFont val="Arial"/>
      </rPr>
      <t xml:space="preserve"> Großraumpapiermagazin
(min. 1.000 Blatt bei 80 g/m²) ausgestattet werden</t>
    </r>
  </si>
  <si>
    <t>2.2.10</t>
  </si>
  <si>
    <r>
      <t xml:space="preserve">Die max. Kapazität des </t>
    </r>
    <r>
      <rPr>
        <b/>
        <sz val="11"/>
        <color theme="1"/>
        <rFont val="Arial"/>
      </rPr>
      <t xml:space="preserve">seitlichen </t>
    </r>
    <r>
      <rPr>
        <sz val="11"/>
        <color theme="1"/>
        <rFont val="Arial"/>
      </rPr>
      <t xml:space="preserve">Großraumpapiermagazins
 bei 80 g/m² Papier beträgt bis zu … Blatt</t>
    </r>
  </si>
  <si>
    <t xml:space="preserve">&gt;=80 S./min = 10 Pkte.;
&gt;=70 S./min = 8 Pkte.;
&gt;=60 S./min = 6 Pkte.;
&gt;45 S./min = 4 Pkte.;
&lt;=45 S./min = 0 Pkte.</t>
  </si>
  <si>
    <t xml:space="preserve">Gerät verfügt über Funktion - Scan-to-Folder (SMB Ver. 3.0)</t>
  </si>
  <si>
    <r>
      <t xml:space="preserve">Kopiergeschwindigkeit von min. </t>
    </r>
    <r>
      <rPr>
        <b/>
        <sz val="11"/>
        <color theme="1"/>
        <rFont val="Arial"/>
      </rPr>
      <t xml:space="preserve">45 Seiten/Minute</t>
    </r>
    <r>
      <rPr>
        <sz val="11"/>
        <color theme="1"/>
        <rFont val="Arial"/>
      </rPr>
      <t xml:space="preserve"> Farbe (DIN A4)</t>
    </r>
  </si>
  <si>
    <t>Auswertung</t>
  </si>
  <si>
    <t>Bewertungsgegenstand</t>
  </si>
  <si>
    <t xml:space="preserve">erreichte Punktzahl</t>
  </si>
  <si>
    <t xml:space="preserve">max. erreichtbare
Punktzahl</t>
  </si>
  <si>
    <t xml:space="preserve">Generelle Fragen</t>
  </si>
  <si>
    <r>
      <t xml:space="preserve">Leistungszahl L</t>
    </r>
    <r>
      <rPr>
        <b/>
        <vertAlign val="subscript"/>
        <sz val="14"/>
        <color theme="1"/>
        <rFont val="Arial"/>
      </rPr>
      <t>Gesamt</t>
    </r>
  </si>
  <si>
    <t>Auflösung</t>
  </si>
  <si>
    <t>Blattanzahl</t>
  </si>
  <si>
    <t>Speicherausbau</t>
  </si>
  <si>
    <t>Duplexgrammatur</t>
  </si>
  <si>
    <t xml:space="preserve">600 dpi</t>
  </si>
  <si>
    <t xml:space="preserve">50 Blatt</t>
  </si>
  <si>
    <t xml:space="preserve">512 MB</t>
  </si>
  <si>
    <t xml:space="preserve">&gt;= 160 g/m²</t>
  </si>
  <si>
    <t>ja</t>
  </si>
  <si>
    <t xml:space="preserve">&gt; 600 dpi</t>
  </si>
  <si>
    <t xml:space="preserve">&gt; 50 Blatt</t>
  </si>
  <si>
    <t xml:space="preserve">&lt; 1.024 MB</t>
  </si>
  <si>
    <t xml:space="preserve">&gt;= 120 g/m²</t>
  </si>
  <si>
    <t>nein</t>
  </si>
  <si>
    <t xml:space="preserve">&gt;= 1.200 dpi</t>
  </si>
  <si>
    <t xml:space="preserve">&gt;75 Blatt</t>
  </si>
  <si>
    <t xml:space="preserve">&gt;= 1.024 MB</t>
  </si>
  <si>
    <t xml:space="preserve">&lt; 100 g/m²</t>
  </si>
  <si>
    <t xml:space="preserve">&gt;100 Blatt</t>
  </si>
  <si>
    <t>Dateiformat</t>
  </si>
  <si>
    <t>Druckvolumen</t>
  </si>
  <si>
    <t xml:space="preserve">Gerät ist ausgelegt für Druckvolumen von min. 2.500 Seiten/Monat</t>
  </si>
  <si>
    <t>PDF</t>
  </si>
  <si>
    <t xml:space="preserve">Gerät ist ausgelegt für Druckvolumen von min. 10.000 Seiten/Monat</t>
  </si>
  <si>
    <t>ZIP</t>
  </si>
  <si>
    <t xml:space="preserve">Gerät ist ausgelegt für Druckvolumen von min. 35.000 Seiten/Monat</t>
  </si>
  <si>
    <t>Scan-Technologie</t>
  </si>
  <si>
    <t>Druckgeschw.</t>
  </si>
  <si>
    <t>Kopiergeschw.</t>
  </si>
  <si>
    <t xml:space="preserve">Druckgeschwindigkeit von min. 20 Seiten/Minute s/w (DIN A4)</t>
  </si>
  <si>
    <t xml:space="preserve">Kopiergeschwindigkeit von min. 20 Seiten/Minute s/w (DIN A4)</t>
  </si>
  <si>
    <t>CCD</t>
  </si>
  <si>
    <t xml:space="preserve">Druckgeschwindigkeit von min. 40 Seiten/Minute s/w (DIN A4)</t>
  </si>
  <si>
    <t xml:space="preserve">Kopiergeschwindigkeit von min. 40 Seiten/Minute s/w (DIN A4)</t>
  </si>
  <si>
    <t>CIS</t>
  </si>
  <si>
    <t>TEC-Wert</t>
  </si>
  <si>
    <t>MFG</t>
  </si>
  <si>
    <t>Papierformate</t>
  </si>
  <si>
    <t>JA</t>
  </si>
  <si>
    <t xml:space="preserve">Zu verarbeitende Papierformate: DIN A4 und DIN A5</t>
  </si>
  <si>
    <t>2.0</t>
  </si>
  <si>
    <t>NEIN</t>
  </si>
  <si>
    <t xml:space="preserve">Zu verarbeitende Papierformate: DIN A3, DIN A4 und DIN A5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</si>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</sst>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.00\ &quot;%&quot;"/>
    <numFmt numFmtId="165" formatCode="#,###.00\ &quot;%&quot;"/>
  </numFmts>
  <fonts count="18">
    <font>
      <sz val="11.000000"/>
      <color theme="1"/>
      <name val="Calibri"/>
      <scheme val="minor"/>
    </font>
    <font>
      <b/>
      <sz val="11.000000"/>
      <name val="Arial"/>
    </font>
    <font>
      <b/>
      <sz val="20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8.000000"/>
      <color rgb="FF008C4F"/>
      <name val="Calibri"/>
      <scheme val="minor"/>
    </font>
    <font>
      <b/>
      <sz val="14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0.000000"/>
      <color theme="1"/>
      <name val="Arial"/>
    </font>
    <font>
      <sz val="11.000000"/>
      <color theme="1"/>
      <name val="Arial"/>
    </font>
    <font>
      <b/>
      <sz val="11.000000"/>
      <color theme="1"/>
      <name val="Arial"/>
    </font>
    <font>
      <b/>
      <sz val="11.000000"/>
      <color rgb="FF008C4F"/>
      <name val="Arial"/>
    </font>
    <font>
      <b/>
      <sz val="14.000000"/>
      <color theme="1"/>
      <name val="Arial"/>
    </font>
    <font>
      <sz val="10.000000"/>
      <color theme="1"/>
      <name val="Arial"/>
    </font>
    <font>
      <sz val="11.000000"/>
      <name val="Arial"/>
    </font>
    <font>
      <sz val="10.000000"/>
      <name val="Arial"/>
    </font>
    <font>
      <b/>
      <sz val="11.000000"/>
      <color indexed="2"/>
      <name val="Arial"/>
    </font>
    <font>
      <sz val="11.000000"/>
      <color theme="1"/>
      <name val="StoneSansITCStd Medium"/>
    </font>
    <font>
      <b/>
      <sz val="18.00000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0" tint="-0.049989318521683403"/>
        <bgColor indexed="65"/>
      </patternFill>
    </fill>
    <fill>
      <patternFill patternType="solid">
        <fgColor theme="2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5"/>
      </patternFill>
    </fill>
    <fill>
      <patternFill patternType="solid">
        <fgColor indexed="22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</patternFill>
    </fill>
    <fill>
      <patternFill patternType="solid">
        <fgColor theme="4" tint="0.39997558519241921"/>
      </patternFill>
    </fill>
    <fill>
      <patternFill patternType="solid">
        <fgColor theme="6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2" tint="0"/>
        <bgColor theme="2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none"/>
      <top style="none"/>
      <bottom style="hair">
        <color auto="1"/>
      </bottom>
      <diagonal style="none"/>
    </border>
    <border>
      <left style="none"/>
      <right style="medium">
        <color auto="1"/>
      </right>
      <top style="none"/>
      <bottom style="hair">
        <color auto="1"/>
      </bottom>
      <diagonal style="none"/>
    </border>
    <border>
      <left style="medium">
        <color auto="1"/>
      </left>
      <right style="none"/>
      <top style="hair">
        <color auto="1"/>
      </top>
      <bottom style="none"/>
      <diagonal style="none"/>
    </border>
    <border>
      <left style="none"/>
      <right style="none"/>
      <top style="hair">
        <color auto="1"/>
      </top>
      <bottom style="none"/>
      <diagonal style="none"/>
    </border>
    <border>
      <left style="none"/>
      <right style="medium">
        <color auto="1"/>
      </right>
      <top style="hair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none"/>
      <top style="hair">
        <color auto="1"/>
      </top>
      <bottom style="medium">
        <color auto="1"/>
      </bottom>
      <diagonal style="none"/>
    </border>
    <border>
      <left style="none"/>
      <right style="none"/>
      <top style="hair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hair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none"/>
      <top style="thin">
        <color theme="6" tint="0.39997558519241921"/>
      </top>
      <bottom style="thin">
        <color theme="6" tint="0.39997558519241921"/>
      </bottom>
      <diagonal style="none"/>
      <horizontal style="thin">
        <color theme="6" tint="0.39997558519241921"/>
      </horizontal>
    </border>
    <border>
      <left style="none"/>
      <right style="none"/>
      <top style="thin">
        <color theme="6" tint="0.39997558519241921"/>
      </top>
      <bottom style="thin">
        <color theme="6" tint="0.39997558519241921"/>
      </bottom>
      <diagonal style="none"/>
    </border>
    <border>
      <left style="none"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 style="none"/>
    </border>
  </borders>
  <cellStyleXfs count="6">
    <xf fontId="0" fillId="0" borderId="0" numFmtId="0" applyNumberFormat="1" applyFont="1" applyFill="1" applyBorder="1"/>
    <xf fontId="1" fillId="2" borderId="1" numFmtId="49" applyNumberFormat="0" applyFont="0" applyFill="1" applyBorder="0">
      <alignment horizontal="justify" vertical="center" wrapText="1"/>
    </xf>
    <xf fontId="2" fillId="0" borderId="0" numFmtId="49" applyNumberFormat="1" applyFont="1" applyFill="1" applyBorder="1"/>
    <xf fontId="3" fillId="3" borderId="0" numFmtId="2" applyNumberFormat="1" applyFont="1" applyFill="1" applyBorder="1">
      <alignment vertical="top"/>
    </xf>
    <xf fontId="4" fillId="4" borderId="0" numFmtId="2" applyNumberFormat="1" applyFont="1" applyFill="1" applyBorder="1">
      <alignment horizontal="right" vertical="top"/>
    </xf>
    <xf fontId="1" fillId="5" borderId="2" numFmtId="49" applyNumberFormat="0" applyFont="1" applyFill="1" applyBorder="0">
      <alignment vertical="top"/>
    </xf>
  </cellStyleXfs>
  <cellXfs count="206">
    <xf fontId="0" fillId="0" borderId="0" numFmtId="0" xfId="0"/>
    <xf fontId="0" fillId="0" borderId="0" numFmtId="0" xfId="0"/>
    <xf fontId="2" fillId="0" borderId="0" numFmtId="49" xfId="2" applyNumberFormat="1" applyFont="1" applyAlignment="1">
      <alignment horizontal="center" wrapText="1"/>
    </xf>
    <xf fontId="2" fillId="0" borderId="0" numFmtId="49" xfId="2" applyNumberFormat="1" applyFont="1"/>
    <xf fontId="0" fillId="0" borderId="0" numFmtId="0" xfId="0" applyAlignment="1">
      <alignment horizontal="center"/>
    </xf>
    <xf fontId="5" fillId="0" borderId="0" numFmtId="0" xfId="0" applyFont="1" applyAlignment="1">
      <alignment horizontal="center" vertical="top" wrapText="1"/>
    </xf>
    <xf fontId="5" fillId="0" borderId="0" numFmtId="0" xfId="0" applyFont="1" applyAlignment="1">
      <alignment horizontal="center" vertical="top"/>
    </xf>
    <xf fontId="3" fillId="6" borderId="0" numFmtId="49" xfId="0" applyNumberFormat="1" applyFont="1" applyFill="1" applyAlignment="1">
      <alignment horizontal="center" vertical="top" wrapText="1"/>
    </xf>
    <xf fontId="0" fillId="0" borderId="0" numFmtId="0" xfId="0" applyAlignment="1">
      <alignment horizontal="left" wrapText="1"/>
    </xf>
    <xf fontId="3" fillId="0" borderId="0" numFmtId="0" xfId="0" applyFont="1" applyAlignment="1">
      <alignment horizontal="left" vertical="center" wrapText="1"/>
    </xf>
    <xf fontId="6" fillId="7" borderId="3" numFmtId="0" xfId="0" applyFont="1" applyFill="1" applyBorder="1" applyAlignment="1">
      <alignment horizontal="center" vertical="center" wrapText="1"/>
    </xf>
    <xf fontId="6" fillId="7" borderId="4" numFmtId="0" xfId="0" applyFont="1" applyFill="1" applyBorder="1" applyAlignment="1">
      <alignment horizontal="center" vertical="center" wrapText="1"/>
    </xf>
    <xf fontId="6" fillId="7" borderId="5" numFmtId="0" xfId="0" applyFont="1" applyFill="1" applyBorder="1" applyAlignment="1">
      <alignment horizontal="center" vertical="center" wrapText="1"/>
    </xf>
    <xf fontId="0" fillId="0" borderId="0" numFmtId="0" xfId="0" applyAlignment="1">
      <alignment vertical="top"/>
    </xf>
    <xf fontId="3" fillId="0" borderId="2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left" vertical="top" wrapText="1"/>
    </xf>
    <xf fontId="3" fillId="0" borderId="6" numFmtId="0" xfId="0" applyFont="1" applyBorder="1" applyAlignment="1">
      <alignment horizontal="left" vertical="top" wrapText="1"/>
    </xf>
    <xf fontId="3" fillId="0" borderId="2" numFmtId="0" xfId="0" applyFont="1" applyBorder="1" applyAlignment="1">
      <alignment horizontal="center" vertical="top" wrapText="1"/>
    </xf>
    <xf fontId="0" fillId="0" borderId="7" numFmtId="0" xfId="0" applyBorder="1" applyAlignment="1">
      <alignment horizontal="left" vertical="top" wrapText="1"/>
    </xf>
    <xf fontId="0" fillId="0" borderId="8" numFmtId="0" xfId="0" applyBorder="1" applyAlignment="1">
      <alignment horizontal="left" vertical="top" wrapText="1"/>
    </xf>
    <xf fontId="3" fillId="0" borderId="9" numFmtId="0" xfId="0" applyFont="1" applyBorder="1" applyAlignment="1">
      <alignment horizontal="center" vertical="top" wrapText="1"/>
    </xf>
    <xf fontId="3" fillId="0" borderId="10" numFmtId="0" xfId="0" applyFont="1" applyBorder="1" applyAlignment="1">
      <alignment horizontal="left" vertical="top" wrapText="1"/>
    </xf>
    <xf fontId="3" fillId="0" borderId="11" numFmtId="0" xfId="0" applyFont="1" applyBorder="1" applyAlignment="1">
      <alignment horizontal="left" vertical="top" wrapText="1"/>
    </xf>
    <xf fontId="3" fillId="0" borderId="12" numFmtId="0" xfId="0" applyFont="1" applyBorder="1" applyAlignment="1">
      <alignment horizontal="center" vertical="top" wrapText="1"/>
    </xf>
    <xf fontId="0" fillId="0" borderId="13" numFmtId="0" xfId="0" applyBorder="1" applyAlignment="1">
      <alignment horizontal="left" vertical="top" wrapText="1"/>
    </xf>
    <xf fontId="0" fillId="0" borderId="14" numFmtId="0" xfId="0" applyBorder="1" applyAlignment="1">
      <alignment horizontal="left" vertical="top" wrapText="1"/>
    </xf>
    <xf fontId="3" fillId="0" borderId="0" numFmtId="0" xfId="0" applyFont="1"/>
    <xf fontId="0" fillId="0" borderId="0" numFmtId="0" xfId="0" applyAlignment="1">
      <alignment horizontal="left" vertical="top" wrapText="1"/>
    </xf>
    <xf fontId="3" fillId="0" borderId="9" numFmtId="0" xfId="0" applyFont="1" applyBorder="1" applyAlignment="1">
      <alignment horizontal="center" vertical="center" wrapText="1"/>
    </xf>
    <xf fontId="3" fillId="0" borderId="15" numFmtId="0" xfId="0" applyFont="1" applyBorder="1" applyAlignment="1">
      <alignment horizontal="center" vertical="center" wrapText="1"/>
    </xf>
    <xf fontId="3" fillId="0" borderId="16" numFmtId="0" xfId="0" applyFont="1" applyBorder="1" applyAlignment="1">
      <alignment horizontal="left" vertical="top" wrapText="1"/>
    </xf>
    <xf fontId="3" fillId="0" borderId="17" numFmtId="0" xfId="0" applyFont="1" applyBorder="1" applyAlignment="1">
      <alignment horizontal="left" vertical="top" wrapText="1"/>
    </xf>
    <xf fontId="0" fillId="6" borderId="0" numFmtId="0" xfId="0" applyFill="1" applyAlignment="1">
      <alignment horizontal="center" vertical="center" wrapText="1"/>
    </xf>
    <xf fontId="3" fillId="0" borderId="0" numFmtId="0" xfId="0" applyFont="1" applyAlignment="1">
      <alignment horizontal="left" wrapText="1"/>
    </xf>
    <xf fontId="3" fillId="0" borderId="0" numFmtId="0" xfId="0" applyFont="1" applyAlignment="1">
      <alignment horizontal="left"/>
    </xf>
    <xf fontId="7" fillId="8" borderId="18" numFmtId="49" xfId="0" applyNumberFormat="1" applyFont="1" applyFill="1" applyBorder="1" applyAlignment="1">
      <alignment horizontal="center" vertical="center" wrapText="1"/>
    </xf>
    <xf fontId="7" fillId="8" borderId="5" numFmtId="0" xfId="0" applyFont="1" applyFill="1" applyBorder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3" fillId="0" borderId="19" numFmtId="0" xfId="0" applyFont="1" applyBorder="1" applyAlignment="1">
      <alignment horizontal="center" vertical="center" wrapText="1"/>
    </xf>
    <xf fontId="0" fillId="0" borderId="0" numFmtId="0" xfId="0" applyAlignment="1">
      <alignment horizontal="left" vertical="top"/>
    </xf>
    <xf fontId="0" fillId="0" borderId="0" numFmtId="0" xfId="0" applyAlignment="1">
      <alignment horizontal="center" vertical="top" wrapText="1"/>
    </xf>
    <xf fontId="0" fillId="0" borderId="0" numFmtId="0" xfId="0" applyAlignment="1">
      <alignment vertical="top" wrapText="1"/>
    </xf>
    <xf fontId="7" fillId="8" borderId="18" numFmtId="0" xfId="0" applyFont="1" applyFill="1" applyBorder="1" applyAlignment="1">
      <alignment horizontal="center" vertical="center" wrapText="1"/>
    </xf>
    <xf fontId="7" fillId="8" borderId="5" numFmtId="2" xfId="0" applyNumberFormat="1" applyFont="1" applyFill="1" applyBorder="1" applyAlignment="1">
      <alignment horizontal="center" vertical="center" wrapText="1"/>
    </xf>
    <xf fontId="6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0" numFmtId="0" xfId="0" applyAlignment="1">
      <alignment wrapText="1"/>
    </xf>
    <xf fontId="7" fillId="8" borderId="0" numFmtId="49" xfId="0" applyNumberFormat="1" applyFont="1" applyFill="1" applyAlignment="1">
      <alignment horizontal="center" textRotation="90" vertical="center" wrapText="1"/>
    </xf>
    <xf fontId="7" fillId="8" borderId="0" numFmtId="0" xfId="0" applyFont="1" applyFill="1" applyAlignment="1">
      <alignment horizontal="justify" vertical="center" wrapText="1"/>
    </xf>
    <xf fontId="7" fillId="8" borderId="0" numFmtId="0" xfId="0" applyFont="1" applyFill="1" applyAlignment="1">
      <alignment horizontal="center" textRotation="90" vertical="center" wrapText="1"/>
    </xf>
    <xf fontId="7" fillId="8" borderId="0" numFmtId="2" xfId="0" applyNumberFormat="1" applyFont="1" applyFill="1" applyAlignment="1">
      <alignment horizontal="center" textRotation="90" vertical="center" wrapText="1"/>
    </xf>
    <xf fontId="7" fillId="8" borderId="0" numFmtId="0" xfId="0" applyFont="1" applyFill="1" applyAlignment="1">
      <alignment horizontal="center" vertical="center" wrapText="1"/>
    </xf>
    <xf fontId="7" fillId="6" borderId="0" numFmtId="0" xfId="0" applyFont="1" applyFill="1" applyAlignment="1">
      <alignment horizontal="center" vertical="center" wrapText="1"/>
    </xf>
    <xf fontId="7" fillId="8" borderId="0" numFmtId="0" xfId="0" applyFont="1" applyFill="1" applyAlignment="1">
      <alignment horizontal="left" vertical="center" wrapText="1"/>
    </xf>
    <xf fontId="8" fillId="0" borderId="0" numFmtId="0" xfId="0" applyFont="1" applyAlignment="1">
      <alignment vertical="top"/>
    </xf>
    <xf fontId="9" fillId="2" borderId="0" numFmtId="49" xfId="1" applyNumberFormat="1" applyFont="1" applyFill="1" applyAlignment="1">
      <alignment vertical="top"/>
    </xf>
    <xf fontId="9" fillId="2" borderId="0" numFmtId="0" xfId="1" applyFont="1" applyFill="1" applyAlignment="1">
      <alignment vertical="top" wrapText="1"/>
    </xf>
    <xf fontId="8" fillId="2" borderId="0" numFmtId="0" xfId="1" applyFont="1" applyFill="1" applyAlignment="1">
      <alignment horizontal="center" vertical="top"/>
    </xf>
    <xf fontId="10" fillId="2" borderId="0" numFmtId="1" xfId="1" applyNumberFormat="1" applyFont="1" applyFill="1" applyAlignment="1">
      <alignment horizontal="center" vertical="top"/>
    </xf>
    <xf fontId="8" fillId="2" borderId="0" numFmtId="0" xfId="1" applyFont="1" applyFill="1" applyAlignment="1">
      <alignment vertical="top"/>
    </xf>
    <xf fontId="10" fillId="2" borderId="0" numFmtId="164" xfId="1" applyNumberFormat="1" applyFont="1" applyFill="1" applyAlignment="1">
      <alignment horizontal="right" vertical="top"/>
    </xf>
    <xf fontId="8" fillId="2" borderId="0" numFmtId="0" xfId="1" applyFont="1" applyFill="1"/>
    <xf fontId="1" fillId="5" borderId="0" numFmtId="49" xfId="5" applyNumberFormat="1" applyFont="1" applyFill="1" applyAlignment="1">
      <alignment vertical="top"/>
    </xf>
    <xf fontId="1" fillId="5" borderId="0" numFmtId="0" xfId="5" applyFont="1" applyFill="1" applyAlignment="1">
      <alignment vertical="top"/>
    </xf>
    <xf fontId="1" fillId="5" borderId="0" numFmtId="164" xfId="5" applyNumberFormat="1" applyFont="1" applyFill="1" applyAlignment="1">
      <alignment vertical="top"/>
    </xf>
    <xf fontId="1" fillId="5" borderId="0" numFmtId="0" xfId="5" applyFont="1" applyFill="1" applyAlignment="1">
      <alignment horizontal="center" vertical="top"/>
    </xf>
    <xf fontId="8" fillId="0" borderId="0" numFmtId="0" xfId="0" applyFont="1"/>
    <xf fontId="8" fillId="0" borderId="0" numFmtId="49" xfId="0" applyNumberFormat="1" applyFont="1" applyAlignment="1">
      <alignment vertical="top"/>
    </xf>
    <xf fontId="8" fillId="0" borderId="0" numFmtId="0" xfId="0" applyFont="1" applyAlignment="1">
      <alignment vertical="top" wrapText="1"/>
    </xf>
    <xf fontId="8" fillId="0" borderId="0" numFmtId="0" xfId="0" applyFont="1" applyAlignment="1">
      <alignment horizontal="center" vertical="top"/>
    </xf>
    <xf fontId="8" fillId="0" borderId="0" numFmtId="164" xfId="0" applyNumberFormat="1" applyFont="1" applyAlignment="1">
      <alignment horizontal="right" vertical="top"/>
    </xf>
    <xf fontId="8" fillId="9" borderId="0" numFmtId="0" xfId="0" applyFont="1" applyFill="1" applyAlignment="1">
      <alignment horizontal="center" vertical="top"/>
    </xf>
    <xf fontId="9" fillId="0" borderId="0" numFmtId="0" xfId="0" applyFont="1" applyAlignment="1">
      <alignment horizontal="right" vertical="top" wrapText="1"/>
    </xf>
    <xf fontId="9" fillId="0" borderId="0" numFmtId="0" xfId="0" applyFont="1" applyAlignment="1">
      <alignment horizontal="center" vertical="top"/>
    </xf>
    <xf fontId="9" fillId="0" borderId="0" numFmtId="0" xfId="0" applyFont="1" applyAlignment="1">
      <alignment vertical="top"/>
    </xf>
    <xf fontId="9" fillId="0" borderId="0" numFmtId="3" xfId="0" applyNumberFormat="1" applyFont="1" applyAlignment="1">
      <alignment vertical="top"/>
    </xf>
    <xf fontId="9" fillId="0" borderId="0" numFmtId="165" xfId="0" applyNumberFormat="1" applyFont="1" applyAlignment="1">
      <alignment vertical="top"/>
    </xf>
    <xf fontId="8" fillId="0" borderId="0" numFmtId="0" xfId="0" applyFont="1" applyAlignment="1">
      <alignment wrapText="1"/>
    </xf>
    <xf fontId="8" fillId="0" borderId="0" numFmtId="0" xfId="0" applyFont="1" applyAlignment="1">
      <alignment horizontal="center"/>
    </xf>
    <xf fontId="8" fillId="0" borderId="0" numFmtId="2" xfId="0" applyNumberFormat="1" applyFont="1" applyAlignment="1">
      <alignment horizontal="right"/>
    </xf>
    <xf fontId="11" fillId="0" borderId="0" numFmtId="49" xfId="0" applyNumberFormat="1" applyFont="1" applyAlignment="1">
      <alignment vertical="top"/>
    </xf>
    <xf fontId="8" fillId="0" borderId="0" numFmtId="0" xfId="0" applyFont="1" applyAlignment="1" quotePrefix="1">
      <alignment vertical="top"/>
    </xf>
    <xf fontId="8" fillId="0" borderId="0" numFmtId="0" xfId="0" applyFont="1" applyAlignment="1">
      <alignment horizontal="right"/>
    </xf>
    <xf fontId="8" fillId="0" borderId="0" numFmtId="0" xfId="0" applyFont="1" applyAlignment="1" quotePrefix="1">
      <alignment horizontal="center" vertical="top"/>
    </xf>
    <xf fontId="9" fillId="0" borderId="0" numFmtId="49" xfId="0" applyNumberFormat="1" applyFont="1" applyAlignment="1">
      <alignment vertical="top"/>
    </xf>
    <xf fontId="12" fillId="0" borderId="0" numFmtId="0" xfId="0" applyFont="1"/>
    <xf fontId="13" fillId="0" borderId="0" numFmtId="0" xfId="0" applyFont="1"/>
    <xf fontId="14" fillId="0" borderId="0" numFmtId="0" xfId="0" applyFont="1"/>
    <xf fontId="1" fillId="2" borderId="0" numFmtId="49" xfId="0" applyNumberFormat="1" applyFont="1" applyFill="1" applyAlignment="1">
      <alignment horizontal="justify" vertical="center" wrapText="1"/>
    </xf>
    <xf fontId="1" fillId="2" borderId="0" numFmtId="0" xfId="0" applyFont="1" applyFill="1" applyAlignment="1">
      <alignment horizontal="justify" vertical="center" wrapText="1"/>
    </xf>
    <xf fontId="1" fillId="2" borderId="0" numFmtId="0" xfId="0" applyFont="1" applyFill="1" applyAlignment="1">
      <alignment horizontal="center" textRotation="90" vertical="center" wrapText="1"/>
    </xf>
    <xf fontId="10" fillId="2" borderId="0" numFmtId="1" xfId="4" applyNumberFormat="1" applyFont="1" applyFill="1" applyAlignment="1">
      <alignment horizontal="center" vertical="center"/>
    </xf>
    <xf fontId="9" fillId="2" borderId="0" numFmtId="0" xfId="0" applyFont="1" applyFill="1" applyAlignment="1">
      <alignment textRotation="90" vertical="top" wrapText="1"/>
    </xf>
    <xf fontId="10" fillId="2" borderId="0" numFmtId="164" xfId="4" applyNumberFormat="1" applyFont="1" applyFill="1" applyAlignment="1">
      <alignment horizontal="right" vertical="top"/>
    </xf>
    <xf fontId="9" fillId="2" borderId="0" numFmtId="0" xfId="0" applyFont="1" applyFill="1" applyAlignment="1">
      <alignment horizontal="center" vertical="center" wrapText="1"/>
    </xf>
    <xf fontId="9" fillId="2" borderId="0" numFmtId="0" xfId="0" applyFont="1" applyFill="1" applyAlignment="1">
      <alignment horizontal="center" vertical="top" wrapText="1"/>
    </xf>
    <xf fontId="9" fillId="2" borderId="0" numFmtId="0" xfId="0" applyFont="1" applyFill="1" applyAlignment="1">
      <alignment horizontal="left" vertical="center" wrapText="1"/>
    </xf>
    <xf fontId="1" fillId="5" borderId="0" numFmtId="49" xfId="0" applyNumberFormat="1" applyFont="1" applyFill="1" applyAlignment="1">
      <alignment vertical="top"/>
    </xf>
    <xf fontId="1" fillId="5" borderId="0" numFmtId="0" xfId="0" applyFont="1" applyFill="1" applyAlignment="1">
      <alignment vertical="top" wrapText="1"/>
    </xf>
    <xf fontId="13" fillId="5" borderId="0" numFmtId="0" xfId="0" applyFont="1" applyFill="1" applyAlignment="1">
      <alignment horizontal="center" vertical="top"/>
    </xf>
    <xf fontId="1" fillId="5" borderId="0" numFmtId="0" xfId="0" applyFont="1" applyFill="1" applyAlignment="1">
      <alignment horizontal="center" vertical="center"/>
    </xf>
    <xf fontId="13" fillId="5" borderId="0" numFmtId="0" xfId="0" applyFont="1" applyFill="1" applyAlignment="1">
      <alignment vertical="top"/>
    </xf>
    <xf fontId="1" fillId="5" borderId="0" numFmtId="164" xfId="3" applyNumberFormat="1" applyFont="1" applyFill="1" applyAlignment="1">
      <alignment horizontal="right" vertical="top"/>
    </xf>
    <xf fontId="8" fillId="5" borderId="0" numFmtId="0" xfId="0" applyFont="1" applyFill="1" applyAlignment="1">
      <alignment vertical="top"/>
    </xf>
    <xf fontId="13" fillId="0" borderId="0" numFmtId="0" xfId="0" applyFont="1" applyAlignment="1">
      <alignment vertical="top"/>
    </xf>
    <xf fontId="8" fillId="10" borderId="0" numFmtId="0" xfId="0" applyFont="1" applyFill="1" applyAlignment="1">
      <alignment vertical="top"/>
    </xf>
    <xf fontId="13" fillId="10" borderId="0" numFmtId="49" xfId="0" applyNumberFormat="1" applyFont="1" applyFill="1" applyAlignment="1">
      <alignment vertical="top"/>
    </xf>
    <xf fontId="13" fillId="10" borderId="0" numFmtId="0" xfId="0" applyFont="1" applyFill="1" applyAlignment="1">
      <alignment vertical="top" wrapText="1"/>
    </xf>
    <xf fontId="13" fillId="10" borderId="0" numFmtId="0" xfId="0" applyFont="1" applyFill="1" applyAlignment="1">
      <alignment horizontal="center" vertical="top"/>
    </xf>
    <xf fontId="13" fillId="10" borderId="0" numFmtId="0" xfId="0" applyFont="1" applyFill="1" applyAlignment="1">
      <alignment vertical="top"/>
    </xf>
    <xf fontId="13" fillId="10" borderId="0" numFmtId="164" xfId="0" applyNumberFormat="1" applyFont="1" applyFill="1" applyAlignment="1">
      <alignment horizontal="right" vertical="top"/>
    </xf>
    <xf fontId="13" fillId="11" borderId="0" numFmtId="0" xfId="0" applyFont="1" applyFill="1" applyAlignment="1">
      <alignment horizontal="center" vertical="top" wrapText="1"/>
    </xf>
    <xf fontId="13" fillId="10" borderId="0" numFmtId="0" xfId="0" applyFont="1" applyFill="1"/>
    <xf fontId="8" fillId="11" borderId="0" numFmtId="0" xfId="0" applyFont="1" applyFill="1" applyAlignment="1">
      <alignment horizontal="center" vertical="top" wrapText="1"/>
    </xf>
    <xf fontId="13" fillId="0" borderId="0" numFmtId="0" xfId="0" applyFont="1" applyAlignment="1">
      <alignment horizontal="center" vertical="top"/>
    </xf>
    <xf fontId="8" fillId="12" borderId="0" numFmtId="0" xfId="0" applyFont="1" applyFill="1" applyAlignment="1">
      <alignment vertical="top"/>
    </xf>
    <xf fontId="8" fillId="12" borderId="0" numFmtId="49" xfId="0" applyNumberFormat="1" applyFont="1" applyFill="1" applyAlignment="1">
      <alignment vertical="top"/>
    </xf>
    <xf fontId="8" fillId="12" borderId="0" numFmtId="0" xfId="0" applyFont="1" applyFill="1" applyAlignment="1">
      <alignment vertical="top" wrapText="1"/>
    </xf>
    <xf fontId="8" fillId="12" borderId="0" numFmtId="0" xfId="0" applyFont="1" applyFill="1" applyAlignment="1">
      <alignment horizontal="center" vertical="top"/>
    </xf>
    <xf fontId="8" fillId="12" borderId="0" numFmtId="164" xfId="0" applyNumberFormat="1" applyFont="1" applyFill="1" applyAlignment="1">
      <alignment horizontal="right" vertical="top"/>
    </xf>
    <xf fontId="13" fillId="12" borderId="0" numFmtId="0" xfId="0" applyFont="1" applyFill="1" applyAlignment="1">
      <alignment vertical="top"/>
    </xf>
    <xf fontId="13" fillId="12" borderId="0" numFmtId="0" xfId="0" applyFont="1" applyFill="1" applyAlignment="1">
      <alignment horizontal="center" vertical="top"/>
    </xf>
    <xf fontId="13" fillId="12" borderId="0" numFmtId="0" xfId="0" applyFont="1" applyFill="1"/>
    <xf fontId="8" fillId="10" borderId="0" numFmtId="49" xfId="0" applyNumberFormat="1" applyFont="1" applyFill="1" applyAlignment="1">
      <alignment vertical="top"/>
    </xf>
    <xf fontId="8" fillId="10" borderId="0" numFmtId="0" xfId="0" applyFont="1" applyFill="1" applyAlignment="1">
      <alignment vertical="top" wrapText="1"/>
    </xf>
    <xf fontId="8" fillId="10" borderId="0" numFmtId="0" xfId="0" applyFont="1" applyFill="1" applyAlignment="1">
      <alignment horizontal="center" vertical="top"/>
    </xf>
    <xf fontId="8" fillId="10" borderId="0" numFmtId="164" xfId="0" applyNumberFormat="1" applyFont="1" applyFill="1" applyAlignment="1">
      <alignment horizontal="right" vertical="top"/>
    </xf>
    <xf fontId="1" fillId="5" borderId="0" numFmtId="0" xfId="0" applyFont="1" applyFill="1" applyAlignment="1">
      <alignment horizontal="center" vertical="top"/>
    </xf>
    <xf fontId="8" fillId="11" borderId="0" numFmtId="0" xfId="0" applyFont="1" applyFill="1" applyAlignment="1">
      <alignment horizontal="center" vertical="top"/>
    </xf>
    <xf fontId="13" fillId="0" borderId="0" numFmtId="0" xfId="0" applyFont="1" applyAlignment="1">
      <alignment vertical="top" wrapText="1"/>
    </xf>
    <xf fontId="8" fillId="10" borderId="0" numFmtId="0" xfId="0" applyFont="1" applyFill="1"/>
    <xf fontId="9" fillId="2" borderId="0" numFmtId="49" xfId="1" applyNumberFormat="1" applyFont="1" applyFill="1" applyAlignment="1">
      <alignment horizontal="justify" vertical="center" wrapText="1"/>
    </xf>
    <xf fontId="9" fillId="2" borderId="0" numFmtId="0" xfId="1" applyFont="1" applyFill="1" applyAlignment="1">
      <alignment horizontal="justify" vertical="center" wrapText="1"/>
    </xf>
    <xf fontId="9" fillId="2" borderId="0" numFmtId="0" xfId="1" applyFont="1" applyFill="1" applyAlignment="1">
      <alignment horizontal="center" textRotation="90" vertical="center" wrapText="1"/>
    </xf>
    <xf fontId="9" fillId="2" borderId="0" numFmtId="0" xfId="1" applyFont="1" applyFill="1" applyAlignment="1">
      <alignment textRotation="90" vertical="top" wrapText="1"/>
    </xf>
    <xf fontId="9" fillId="2" borderId="0" numFmtId="0" xfId="1" applyFont="1" applyFill="1" applyAlignment="1">
      <alignment horizontal="center" vertical="center" wrapText="1"/>
    </xf>
    <xf fontId="9" fillId="2" borderId="0" numFmtId="0" xfId="1" applyFont="1" applyFill="1" applyAlignment="1">
      <alignment horizontal="center" vertical="top" wrapText="1"/>
    </xf>
    <xf fontId="8" fillId="10" borderId="0" numFmtId="49" xfId="0" applyNumberFormat="1" applyFont="1" applyFill="1" applyAlignment="1">
      <alignment vertical="top" wrapText="1"/>
    </xf>
    <xf fontId="8" fillId="12" borderId="0" numFmtId="0" xfId="0" applyFont="1" applyFill="1"/>
    <xf fontId="8" fillId="13" borderId="0" numFmtId="49" xfId="0" applyNumberFormat="1" applyFont="1" applyFill="1" applyAlignment="1">
      <alignment vertical="top"/>
    </xf>
    <xf fontId="13" fillId="13" borderId="0" numFmtId="0" xfId="0" applyFont="1" applyFill="1" applyAlignment="1">
      <alignment vertical="top" wrapText="1"/>
    </xf>
    <xf fontId="8" fillId="13" borderId="0" numFmtId="0" xfId="0" applyFont="1" applyFill="1" applyAlignment="1">
      <alignment horizontal="center" vertical="top"/>
    </xf>
    <xf fontId="8" fillId="13" borderId="0" numFmtId="0" xfId="0" applyFont="1" applyFill="1" applyAlignment="1">
      <alignment vertical="top"/>
    </xf>
    <xf fontId="8" fillId="13" borderId="0" numFmtId="164" xfId="0" applyNumberFormat="1" applyFont="1" applyFill="1" applyAlignment="1">
      <alignment horizontal="right" vertical="top"/>
    </xf>
    <xf fontId="8" fillId="13" borderId="0" numFmtId="0" xfId="0" applyFont="1" applyFill="1" applyAlignment="1">
      <alignment vertical="top" wrapText="1"/>
    </xf>
    <xf fontId="8" fillId="14" borderId="0" numFmtId="0" xfId="0" applyFont="1" applyFill="1" applyAlignment="1">
      <alignment vertical="top" wrapText="1"/>
    </xf>
    <xf fontId="13" fillId="12" borderId="0" numFmtId="0" xfId="0" applyFont="1" applyFill="1" applyAlignment="1">
      <alignment vertical="top" wrapText="1"/>
    </xf>
    <xf fontId="3" fillId="5" borderId="0" numFmtId="164" xfId="5" applyNumberFormat="1" applyFont="1" applyFill="1" applyAlignment="1">
      <alignment vertical="top"/>
    </xf>
    <xf fontId="9" fillId="2" borderId="0" numFmtId="49" xfId="0" applyNumberFormat="1" applyFont="1" applyFill="1" applyAlignment="1">
      <alignment vertical="top"/>
    </xf>
    <xf fontId="9" fillId="2" borderId="0" numFmtId="0" xfId="0" applyFont="1" applyFill="1" applyAlignment="1">
      <alignment vertical="top" wrapText="1"/>
    </xf>
    <xf fontId="9" fillId="2" borderId="0" numFmtId="0" xfId="0" applyFont="1" applyFill="1" applyAlignment="1">
      <alignment horizontal="center" vertical="top"/>
    </xf>
    <xf fontId="9" fillId="2" borderId="0" numFmtId="0" xfId="0" applyFont="1" applyFill="1" applyAlignment="1">
      <alignment vertical="top"/>
    </xf>
    <xf fontId="9" fillId="2" borderId="0" numFmtId="164" xfId="0" applyNumberFormat="1" applyFont="1" applyFill="1" applyAlignment="1">
      <alignment horizontal="right" vertical="top"/>
    </xf>
    <xf fontId="8" fillId="2" borderId="0" numFmtId="0" xfId="0" applyFont="1" applyFill="1" applyAlignment="1">
      <alignment horizontal="center" vertical="top"/>
    </xf>
    <xf fontId="8" fillId="2" borderId="0" numFmtId="0" xfId="0" applyFont="1" applyFill="1" applyAlignment="1">
      <alignment vertical="top"/>
    </xf>
    <xf fontId="9" fillId="5" borderId="0" numFmtId="49" xfId="0" applyNumberFormat="1" applyFont="1" applyFill="1" applyAlignment="1">
      <alignment vertical="top"/>
    </xf>
    <xf fontId="9" fillId="5" borderId="0" numFmtId="0" xfId="0" applyFont="1" applyFill="1" applyAlignment="1">
      <alignment vertical="top" wrapText="1"/>
    </xf>
    <xf fontId="8" fillId="5" borderId="0" numFmtId="0" xfId="0" applyFont="1" applyFill="1" applyAlignment="1">
      <alignment horizontal="center" vertical="top"/>
    </xf>
    <xf fontId="9" fillId="5" borderId="0" numFmtId="164" xfId="0" applyNumberFormat="1" applyFont="1" applyFill="1" applyAlignment="1">
      <alignment horizontal="right" vertical="top"/>
    </xf>
    <xf fontId="9" fillId="0" borderId="0" numFmtId="164" xfId="0" applyNumberFormat="1" applyFont="1" applyAlignment="1">
      <alignment horizontal="right" vertical="top"/>
    </xf>
    <xf fontId="9" fillId="12" borderId="0" numFmtId="164" xfId="0" applyNumberFormat="1" applyFont="1" applyFill="1" applyAlignment="1">
      <alignment horizontal="right" vertical="top"/>
    </xf>
    <xf fontId="9" fillId="10" borderId="0" numFmtId="164" xfId="0" applyNumberFormat="1" applyFont="1" applyFill="1" applyAlignment="1">
      <alignment horizontal="right" vertical="top"/>
    </xf>
    <xf fontId="15" fillId="12" borderId="0" numFmtId="0" xfId="0" applyFont="1" applyFill="1" applyAlignment="1">
      <alignment horizontal="center" vertical="top"/>
    </xf>
    <xf fontId="15" fillId="12" borderId="0" numFmtId="0" xfId="0" applyFont="1" applyFill="1" applyAlignment="1">
      <alignment vertical="top"/>
    </xf>
    <xf fontId="13" fillId="0" borderId="0" numFmtId="0" xfId="0" applyFont="1" applyAlignment="1">
      <alignment horizontal="center"/>
    </xf>
    <xf fontId="13" fillId="0" borderId="0" numFmtId="49" xfId="0" applyNumberFormat="1" applyFont="1" applyAlignment="1">
      <alignment vertical="top"/>
    </xf>
    <xf fontId="13" fillId="0" borderId="0" numFmtId="164" xfId="0" applyNumberFormat="1" applyFont="1" applyAlignment="1">
      <alignment horizontal="right" vertical="top"/>
    </xf>
    <xf fontId="13" fillId="9" borderId="0" numFmtId="0" xfId="0" applyFont="1" applyFill="1" applyAlignment="1">
      <alignment horizontal="center" vertical="top" wrapText="1"/>
    </xf>
    <xf fontId="13" fillId="9" borderId="0" numFmtId="0" xfId="0" applyFont="1" applyFill="1" applyAlignment="1">
      <alignment horizontal="center" vertical="top"/>
    </xf>
    <xf fontId="8" fillId="9" borderId="0" numFmtId="0" xfId="0" applyFont="1" applyFill="1" applyAlignment="1">
      <alignment horizontal="center" vertical="top" wrapText="1"/>
    </xf>
    <xf fontId="8" fillId="9" borderId="0" numFmtId="0" xfId="0" applyFont="1" applyFill="1"/>
    <xf fontId="8" fillId="11" borderId="0" numFmtId="0" xfId="0" applyFont="1" applyFill="1" applyAlignment="1">
      <alignment vertical="top"/>
    </xf>
    <xf fontId="8" fillId="10" borderId="0" numFmtId="0" xfId="0" applyFont="1" applyFill="1" applyAlignment="1">
      <alignment wrapText="1"/>
    </xf>
    <xf fontId="8" fillId="9" borderId="0" numFmtId="0" xfId="0" applyFont="1" applyFill="1" applyAlignment="1">
      <alignment vertical="top"/>
    </xf>
    <xf fontId="16" fillId="0" borderId="0" numFmtId="0" xfId="0" applyFont="1" applyAlignment="1">
      <alignment vertical="top"/>
    </xf>
    <xf fontId="16" fillId="12" borderId="0" numFmtId="0" xfId="0" applyFont="1" applyFill="1" applyAlignment="1">
      <alignment vertical="top"/>
    </xf>
    <xf fontId="8" fillId="12" borderId="0" numFmtId="0" xfId="0" applyFont="1" applyFill="1" applyAlignment="1" quotePrefix="1">
      <alignment vertical="top"/>
    </xf>
    <xf fontId="9" fillId="5" borderId="0" numFmtId="164" xfId="5" applyNumberFormat="1" applyFont="1" applyFill="1" applyAlignment="1">
      <alignment vertical="top"/>
    </xf>
    <xf fontId="1" fillId="0" borderId="0" numFmtId="0" xfId="0" applyFont="1" applyAlignment="1">
      <alignment horizontal="right" wrapText="1"/>
    </xf>
    <xf fontId="1" fillId="0" borderId="0" numFmtId="3" xfId="0" applyNumberFormat="1" applyFont="1" applyAlignment="1">
      <alignment vertical="top"/>
    </xf>
    <xf fontId="13" fillId="0" borderId="0" numFmtId="164" xfId="0" applyNumberFormat="1" applyFont="1" applyAlignment="1">
      <alignment vertical="top"/>
    </xf>
    <xf fontId="13" fillId="10" borderId="0" numFmtId="49" xfId="5" applyNumberFormat="1" applyFont="1" applyFill="1" applyAlignment="1">
      <alignment vertical="top"/>
    </xf>
    <xf fontId="13" fillId="10" borderId="0" numFmtId="0" xfId="5" applyFont="1" applyFill="1" applyAlignment="1">
      <alignment vertical="top"/>
    </xf>
    <xf fontId="13" fillId="10" borderId="0" numFmtId="0" xfId="5" applyFont="1" applyFill="1" applyAlignment="1">
      <alignment horizontal="center" vertical="top"/>
    </xf>
    <xf fontId="8" fillId="10" borderId="20" numFmtId="164" xfId="0" applyNumberFormat="1" applyFont="1" applyFill="1" applyBorder="1" applyAlignment="1">
      <alignment horizontal="right" vertical="top"/>
    </xf>
    <xf fontId="8" fillId="11" borderId="21" numFmtId="0" xfId="0" applyFont="1" applyFill="1" applyBorder="1" applyAlignment="1">
      <alignment horizontal="center" vertical="top"/>
    </xf>
    <xf fontId="1" fillId="10" borderId="0" numFmtId="0" xfId="5" applyFont="1" applyFill="1" applyAlignment="1">
      <alignment vertical="top"/>
    </xf>
    <xf fontId="8" fillId="10" borderId="22" numFmtId="0" xfId="0" applyFont="1" applyFill="1" applyBorder="1" applyAlignment="1">
      <alignment vertical="top" wrapText="1"/>
    </xf>
    <xf fontId="16" fillId="10" borderId="0" numFmtId="0" xfId="0" applyFont="1" applyFill="1" applyAlignment="1">
      <alignment vertical="top"/>
    </xf>
    <xf fontId="8" fillId="10" borderId="21" numFmtId="0" xfId="0" applyFont="1" applyFill="1" applyBorder="1" applyAlignment="1">
      <alignment vertical="top" wrapText="1"/>
    </xf>
    <xf fontId="8" fillId="10" borderId="21" numFmtId="0" xfId="0" applyFont="1" applyFill="1" applyBorder="1" applyAlignment="1">
      <alignment horizontal="center" vertical="top"/>
    </xf>
    <xf fontId="8" fillId="10" borderId="21" numFmtId="0" xfId="0" applyFont="1" applyFill="1" applyBorder="1" applyAlignment="1">
      <alignment vertical="top"/>
    </xf>
    <xf fontId="8" fillId="15" borderId="0" numFmtId="164" xfId="0" applyNumberFormat="1" applyFont="1" applyFill="1" applyAlignment="1">
      <alignment horizontal="right" vertical="top"/>
    </xf>
    <xf fontId="17" fillId="0" borderId="0" numFmtId="0" xfId="0" applyFont="1"/>
    <xf fontId="8" fillId="0" borderId="0" numFmtId="0" xfId="0" applyFont="1" applyAlignment="1">
      <alignment vertical="center"/>
    </xf>
    <xf fontId="8" fillId="0" borderId="0" numFmtId="0" xfId="0" applyFont="1" applyAlignment="1">
      <alignment horizontal="right" vertical="center"/>
    </xf>
    <xf fontId="8" fillId="0" borderId="0" numFmtId="0" xfId="0" applyFont="1" applyAlignment="1">
      <alignment horizontal="center" vertical="center" wrapText="1"/>
    </xf>
    <xf fontId="8" fillId="0" borderId="0" numFmtId="3" xfId="0" applyNumberFormat="1" applyFont="1"/>
    <xf fontId="8" fillId="0" borderId="0" numFmtId="49" xfId="0" applyNumberFormat="1" applyFont="1"/>
    <xf fontId="11" fillId="6" borderId="0" numFmtId="0" xfId="0" applyFont="1" applyFill="1"/>
    <xf fontId="11" fillId="6" borderId="0" numFmtId="0" xfId="0" applyFont="1" applyFill="1" applyAlignment="1">
      <alignment horizontal="right"/>
    </xf>
    <xf fontId="11" fillId="6" borderId="0" numFmtId="3" xfId="0" applyNumberFormat="1" applyFont="1" applyFill="1"/>
    <xf fontId="8" fillId="0" borderId="0" numFmtId="2" xfId="0" applyNumberFormat="1" applyFont="1"/>
    <xf fontId="0" fillId="0" borderId="0" numFmtId="0" xfId="0" applyAlignment="1" quotePrefix="1">
      <alignment horizontal="center"/>
    </xf>
    <xf fontId="0" fillId="0" borderId="0" numFmtId="49" xfId="0" applyNumberFormat="1" applyAlignment="1">
      <alignment vertical="top"/>
    </xf>
    <xf fontId="0" fillId="0" borderId="0" numFmtId="16" xfId="0" applyNumberFormat="1"/>
  </cellXfs>
  <cellStyles count="6">
    <cellStyle name="Kapitelüberschrift" xfId="1"/>
    <cellStyle name="Standard" xfId="0" builtinId="0"/>
    <cellStyle name="Titel" xfId="2"/>
    <cellStyle name="Zwischensumme" xfId="3"/>
    <cellStyle name="Zwischensumme Kategorie" xfId="4"/>
    <cellStyle name="Zwischenüberschrift" xfId="5"/>
  </cellStyles>
  <dxfs count="381"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1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1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1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fill>
        <patternFill patternType="solid">
          <fgColor theme="0"/>
          <bgColor theme="0"/>
        </patternFill>
      </fill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strike val="0"/>
        <u val="none"/>
        <name val="Arial"/>
        <scheme val="none"/>
      </font>
      <fill>
        <patternFill patternType="solid">
          <fgColor theme="6" tint="0.79998168889431442"/>
          <bgColor theme="0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bottom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fill>
        <patternFill patternType="solid">
          <fgColor theme="0"/>
          <bgColor theme="0"/>
        </patternFill>
      </fill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0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  <numFmt numFmtId="49" formatCode="@"/>
      <fill>
        <patternFill patternType="solid">
          <fgColor theme="0"/>
          <bgColor theme="0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fill>
        <patternFill patternType="solid">
          <fgColor theme="6" tint="0.79998168889431442"/>
          <bgColor theme="6" tint="0.79998168889431442"/>
        </patternFill>
      </fill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0" formatCode="General"/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vertAlign val="baseline"/>
        <sz val="11.000000"/>
        <name val="Arial"/>
        <scheme val="none"/>
      </font>
    </dxf>
    <dxf>
      <font>
        <strike val="0"/>
        <u val="none"/>
        <sz val="11.000000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1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1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1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fill>
        <patternFill patternType="solid">
          <fgColor theme="6" tint="0.79998168889431442"/>
          <bgColor theme="6" tint="0.79998168889431442"/>
        </patternFill>
      </fill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0" formatCode="General"/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fill>
        <patternFill patternType="solid">
          <fgColor theme="0"/>
          <bgColor theme="0"/>
        </patternFill>
      </fill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0"/>
          <bgColor theme="0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0" formatCode="General"/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1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1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49" formatCode="@"/>
      <fill>
        <patternFill patternType="solid">
          <fgColor indexed="5"/>
          <bgColor indexed="5"/>
        </patternFill>
      </fill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indexed="5"/>
          <bgColor indexed="5"/>
        </patternFill>
      </fill>
      <alignment indent="0" readingOrder="0" relativeIndent="0" shrinkToFit="0" textRotation="0" vertical="top" wrapText="1"/>
    </dxf>
    <dxf>
      <font>
        <strike val="0"/>
        <u val="none"/>
        <sz val="11.000000"/>
        <name val="Arial"/>
        <scheme val="none"/>
      </font>
      <fill>
        <patternFill patternType="solid">
          <fgColor indexed="5"/>
          <bgColor indexed="5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indexed="5"/>
          <bgColor indexed="5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indexed="5"/>
          <bgColor indexed="5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indexed="5"/>
          <bgColor indexed="5"/>
        </patternFill>
      </fill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indexed="5"/>
          <bgColor indexed="5"/>
        </patternFill>
      </fill>
      <alignment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numFmt numFmtId="164" formatCode="0.00\ &quot;%&quot;"/>
      <fill>
        <patternFill patternType="solid">
          <fgColor indexed="5"/>
          <bgColor indexed="5"/>
        </patternFill>
      </fill>
      <alignment horizontal="right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indexed="5"/>
          <bgColor indexed="5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sz val="11.000000"/>
        <name val="Arial"/>
        <scheme val="none"/>
      </font>
      <fill>
        <patternFill patternType="solid">
          <fgColor indexed="5"/>
          <bgColor indexed="5"/>
        </patternFill>
      </fill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fill>
        <patternFill patternType="solid">
          <fgColor theme="6" tint="0.79998168889431442"/>
          <bgColor theme="6" tint="0.79998168889431442"/>
        </patternFill>
      </fill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0" formatCode="General"/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fill>
        <patternFill patternType="solid">
          <fgColor theme="6" tint="0.79998168889431442"/>
          <bgColor theme="6" tint="0.79998168889431442"/>
        </patternFill>
      </fill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6" tint="0.79998168889431442"/>
          <bgColor theme="6" tint="0.79998168889431442"/>
        </patternFill>
      </fill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0" formatCode="General"/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49" formatCode="@"/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1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alignment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numFmt numFmtId="164" formatCode="0.00\ &quot;%&quot;"/>
      <alignment horizontal="right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b val="0"/>
        <i val="0"/>
        <strike val="0"/>
        <u val="none"/>
        <vertAlign val="baseline"/>
        <sz val="11.000000"/>
        <color theme="1"/>
        <name val="Arial"/>
        <scheme val="none"/>
      </font>
      <fill>
        <patternFill patternType="solid">
          <fgColor theme="4" tint="0.39997558519241921"/>
          <bgColor theme="4" tint="0.39997558519241921"/>
        </patternFill>
      </fill>
      <alignment horizontal="center" indent="0" readingOrder="0" relativeIndent="0" shrinkToFit="0" textRotation="0" vertical="top" wrapText="0"/>
    </dxf>
    <dxf>
      <font>
        <strike val="0"/>
        <u val="none"/>
        <name val="Arial"/>
        <scheme val="none"/>
      </font>
    </dxf>
    <dxf>
      <font>
        <strike val="0"/>
        <u val="none"/>
        <color theme="1"/>
        <name val="Arial"/>
        <scheme val="none"/>
      </font>
      <numFmt numFmtId="49" formatCode="@"/>
    </dxf>
    <dxf>
      <font>
        <strike val="0"/>
        <u val="none"/>
        <color theme="1"/>
        <name val="Arial"/>
        <scheme val="none"/>
      </font>
      <alignment horizontal="right" indent="0" readingOrder="0" relativeIndent="0" shrinkToFit="0" textRotation="0" vertical="bottom" wrapText="0"/>
    </dxf>
    <dxf>
      <font>
        <strike val="0"/>
        <u val="none"/>
        <color theme="1"/>
        <name val="Arial"/>
        <scheme val="none"/>
      </font>
    </dxf>
    <dxf>
      <font>
        <b/>
        <color theme="1"/>
      </font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diagonal style="none"/>
        <horizontal style="thin">
          <color theme="6" tint="0.39997558519241921"/>
        </horizontal>
      </border>
    </dxf>
  </dxfs>
  <tableStyles count="1" defaultTableStyle="TableStyleMedium2" defaultPivotStyle="PivotStyleLight16">
    <tableStyle name="RZ Test" pivot="0" count="5">
      <tableStyleElement type="firstColumn" size="1" dxfId="376"/>
      <tableStyleElement type="firstColumnStripe" size="1" dxfId="377"/>
      <tableStyleElement type="firstRowStripe" size="1" dxfId="378"/>
      <tableStyleElement type="lastColumn" size="1" dxfId="379"/>
      <tableStyleElement type="wholeTable" size="1" dxfId="38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externalLink" Target="externalLinks/externalLink1.xml"/><Relationship  Id="rId10" Type="http://schemas.openxmlformats.org/officeDocument/2006/relationships/worksheet" Target="worksheets/sheet5.xml"/><Relationship  Id="rId11" Type="http://schemas.openxmlformats.org/officeDocument/2006/relationships/worksheet" Target="worksheets/sheet6.xml"/><Relationship  Id="rId12" Type="http://schemas.openxmlformats.org/officeDocument/2006/relationships/worksheet" Target="worksheets/sheet7.xml"/><Relationship  Id="rId13" Type="http://schemas.openxmlformats.org/officeDocument/2006/relationships/theme" Target="theme/theme1.xml"/><Relationship  Id="rId14" Type="http://schemas.openxmlformats.org/officeDocument/2006/relationships/sharedStrings" Target="sharedStrings.xml"/><Relationship  Id="rId15" Type="http://schemas.openxmlformats.org/officeDocument/2006/relationships/styles" Target="styles.xml"/><Relationship  Id="rId2" Type="http://schemas.onlyoffice.com/jsaProject" Target="jsaProject.bin"/><Relationship  Id="rId3" Type="http://schemas.openxmlformats.org/officeDocument/2006/relationships/customXml" Target="../customXml/item1.xml"/><Relationship  Id="rId4" Type="http://schemas.openxmlformats.org/officeDocument/2006/relationships/customXml" Target="../customXml/item2.xml"/><Relationship  Id="rId5" Type="http://schemas.openxmlformats.org/officeDocument/2006/relationships/customXml" Target="../customXml/item3.xml"/><Relationship  Id="rId6" Type="http://schemas.openxmlformats.org/officeDocument/2006/relationships/worksheet" Target="worksheets/sheet1.xml"/><Relationship  Id="rId7" Type="http://schemas.openxmlformats.org/officeDocument/2006/relationships/worksheet" Target="worksheets/sheet2.xml"/><Relationship  Id="rId8" Type="http://schemas.openxmlformats.org/officeDocument/2006/relationships/worksheet" Target="worksheets/sheet3.xml"/><Relationship  Id="rId9" Type="http://schemas.openxmlformats.org/officeDocument/2006/relationships/worksheet" Target="worksheets/sheet4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media1.svg"/><Relationship Id="rId3" Type="http://schemas.openxmlformats.org/officeDocument/2006/relationships/image" Target="../media/image5.png"/><Relationship Id="rId4" Type="http://schemas.openxmlformats.org/officeDocument/2006/relationships/image" Target="../media/media2.sv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media3.svg"/><Relationship Id="rId3" Type="http://schemas.openxmlformats.org/officeDocument/2006/relationships/image" Target="../media/image8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8.png"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57150</xdr:colOff>
      <xdr:row>37</xdr:row>
      <xdr:rowOff>69851</xdr:rowOff>
    </xdr:from>
    <xdr:ext cx="5251450" cy="2277760"/>
    <xdr:pic>
      <xdr:nvPicPr>
        <xdr:cNvPr id="2" name="Grafik 1"/>
        <xdr:cNvPicPr>
          <a:picLocks noChangeAspect="1"/>
        </xdr:cNvPicPr>
      </xdr:nvPicPr>
      <xdr:blipFill rotWithShape="1">
        <a:blip r:embed="rId1"/>
        <a:srcRect l="0" t="0" r="0" b="23765"/>
        <a:stretch/>
      </xdr:blipFill>
      <xdr:spPr bwMode="auto">
        <a:xfrm>
          <a:off x="57150" y="14814550"/>
          <a:ext cx="5251450" cy="227776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 editAs="twoCell">
    <xdr:from>
      <xdr:col>3</xdr:col>
      <xdr:colOff>222250</xdr:colOff>
      <xdr:row>48</xdr:row>
      <xdr:rowOff>133350</xdr:rowOff>
    </xdr:from>
    <xdr:to>
      <xdr:col>3</xdr:col>
      <xdr:colOff>495299</xdr:colOff>
      <xdr:row>51</xdr:row>
      <xdr:rowOff>0</xdr:rowOff>
    </xdr:to>
    <xdr:cxnSp>
      <xdr:nvCxnSpPr>
        <xdr:cNvPr id="3" name="Gerade Verbindung mit Pfeil 2"/>
        <xdr:cNvCxnSpPr/>
      </xdr:nvCxnSpPr>
      <xdr:spPr bwMode="auto">
        <a:xfrm flipV="1">
          <a:off x="3797300" y="16903700"/>
          <a:ext cx="273050" cy="603250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  <xdr:oneCellAnchor>
    <xdr:from>
      <xdr:col>0</xdr:col>
      <xdr:colOff>57150</xdr:colOff>
      <xdr:row>18</xdr:row>
      <xdr:rowOff>209550</xdr:rowOff>
    </xdr:from>
    <xdr:ext cx="3067208" cy="1574880"/>
    <xdr:pic>
      <xdr:nvPicPr>
        <xdr:cNvPr id="5" name="Grafik 4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57150" y="9378950"/>
          <a:ext cx="3067208" cy="157488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94503</xdr:colOff>
      <xdr:row>1</xdr:row>
      <xdr:rowOff>60513</xdr:rowOff>
    </xdr:from>
    <xdr:to>
      <xdr:col>2</xdr:col>
      <xdr:colOff>507253</xdr:colOff>
      <xdr:row>3</xdr:row>
      <xdr:rowOff>46505</xdr:rowOff>
    </xdr:to>
    <xdr:pic>
      <xdr:nvPicPr>
        <xdr:cNvPr id="2" name="Grafik 1" descr="DIN A4"/>
        <xdr:cNvPicPr/>
      </xdr:nvPicPr>
      <xdr:blipFill rotWithShape="1"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5625353" y="143063"/>
          <a:ext cx="409575" cy="395567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</xdr:row>
      <xdr:rowOff>146050</xdr:rowOff>
    </xdr:from>
    <xdr:to>
      <xdr:col>3</xdr:col>
      <xdr:colOff>323849</xdr:colOff>
      <xdr:row>2</xdr:row>
      <xdr:rowOff>120836</xdr:rowOff>
    </xdr:to>
    <xdr:pic>
      <xdr:nvPicPr>
        <xdr:cNvPr id="4" name="Grafik 3" descr="Druckfarbe: 4C"/>
        <xdr:cNvPicPr/>
      </xdr:nvPicPr>
      <xdr:blipFill rotWithShape="1">
        <a:blip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6248400" y="228600"/>
          <a:ext cx="152400" cy="2065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95250</xdr:colOff>
      <xdr:row>1</xdr:row>
      <xdr:rowOff>63500</xdr:rowOff>
    </xdr:from>
    <xdr:to>
      <xdr:col>2</xdr:col>
      <xdr:colOff>501650</xdr:colOff>
      <xdr:row>3</xdr:row>
      <xdr:rowOff>49492</xdr:rowOff>
    </xdr:to>
    <xdr:pic>
      <xdr:nvPicPr>
        <xdr:cNvPr id="4" name="Grafik 3" descr="DIN A3"/>
        <xdr:cNvPicPr/>
      </xdr:nvPicPr>
      <xdr:blipFill rotWithShape="1"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5626100" y="146050"/>
          <a:ext cx="409575" cy="395567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1</xdr:row>
      <xdr:rowOff>139700</xdr:rowOff>
    </xdr:from>
    <xdr:to>
      <xdr:col>3</xdr:col>
      <xdr:colOff>317500</xdr:colOff>
      <xdr:row>2</xdr:row>
      <xdr:rowOff>114485</xdr:rowOff>
    </xdr:to>
    <xdr:pic>
      <xdr:nvPicPr>
        <xdr:cNvPr id="7" name="Grafik 6" descr="Druckfarbe: 4C"/>
        <xdr:cNvPicPr/>
      </xdr:nvPicPr>
      <xdr:blipFill rotWithShape="1">
        <a:blip r:embed="rId3"/>
        <a:stretch/>
      </xdr:blipFill>
      <xdr:spPr bwMode="auto">
        <a:xfrm>
          <a:off x="6242050" y="222250"/>
          <a:ext cx="152400" cy="2033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95250</xdr:colOff>
      <xdr:row>1</xdr:row>
      <xdr:rowOff>63500</xdr:rowOff>
    </xdr:from>
    <xdr:to>
      <xdr:col>2</xdr:col>
      <xdr:colOff>501650</xdr:colOff>
      <xdr:row>3</xdr:row>
      <xdr:rowOff>49492</xdr:rowOff>
    </xdr:to>
    <xdr:pic>
      <xdr:nvPicPr>
        <xdr:cNvPr id="2" name="Grafik 1" descr="DIN A3"/>
        <xdr:cNvPicPr/>
      </xdr:nvPicPr>
      <xdr:blipFill rotWithShape="1">
        <a:blip r:embed="rId1"/>
        <a:stretch/>
      </xdr:blipFill>
      <xdr:spPr bwMode="auto">
        <a:xfrm>
          <a:off x="5626100" y="146050"/>
          <a:ext cx="406400" cy="392392"/>
        </a:xfrm>
        <a:prstGeom prst="rect">
          <a:avLst/>
        </a:prstGeom>
      </xdr:spPr>
    </xdr:pic>
    <xdr:clientData/>
  </xdr:twoCellAnchor>
  <xdr:twoCellAnchor editAs="oneCell">
    <xdr:from>
      <xdr:col>3</xdr:col>
      <xdr:colOff>168841</xdr:colOff>
      <xdr:row>1</xdr:row>
      <xdr:rowOff>146795</xdr:rowOff>
    </xdr:from>
    <xdr:to>
      <xdr:col>3</xdr:col>
      <xdr:colOff>321241</xdr:colOff>
      <xdr:row>2</xdr:row>
      <xdr:rowOff>121582</xdr:rowOff>
    </xdr:to>
    <xdr:pic>
      <xdr:nvPicPr>
        <xdr:cNvPr id="3" name="Grafik 2" descr="Druckfarbe: 4C"/>
        <xdr:cNvPicPr/>
      </xdr:nvPicPr>
      <xdr:blipFill rotWithShape="1">
        <a:blip r:embed="rId2"/>
        <a:stretch/>
      </xdr:blipFill>
      <xdr:spPr bwMode="auto">
        <a:xfrm>
          <a:off x="6245791" y="229346"/>
          <a:ext cx="152400" cy="2033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D:\tucloud\DruMuFu-Ausschreibung_2020\01%20Dokumente%20@work\02%20Dokumente%20f&#252;r%20Auswertung%20(Excel)\alt\2020-05-13%20DruMuFu-2020%20Vorschlag%20f&#252;r%20Bewertungsmatrix%20mit%20Gewichtungen%20und%20Auswertu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inleitung"/>
      <sheetName val="Leistungsklasse 1"/>
      <sheetName val="Leistungsklasse 1c"/>
      <sheetName val="Leistungsklasse 2"/>
      <sheetName val="Leistungsklasse 2c"/>
      <sheetName val="Leistungsklasse 1mfc"/>
      <sheetName val="Leistungsklasse 2mf"/>
      <sheetName val="Leistungsklasse 2mfc"/>
      <sheetName val="Leistungsklasse 3mf"/>
      <sheetName val="Leistungsklasse 3mfc"/>
      <sheetName val="Hilfsabell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9">
          <cell r="D9" t="str">
            <v xml:space="preserve">Gerät ist ausgelegt für Druckvolumen von min. 2.500 Seiten/Monat</v>
          </cell>
        </row>
        <row r="10">
          <cell r="B10" t="str">
            <v>PDF</v>
          </cell>
          <cell r="D10" t="str">
            <v xml:space="preserve">Gerät ist ausgelegt für Druckvolumen von min. 10.000 Seiten/Monat</v>
          </cell>
        </row>
        <row r="11">
          <cell r="B11" t="str">
            <v>ZIP</v>
          </cell>
          <cell r="D11" t="str">
            <v xml:space="preserve">Gerät ist ausgelegt für Druckvolumen von min. 35.000 Seiten/Monat</v>
          </cell>
        </row>
        <row r="14">
          <cell r="J14" t="str">
            <v xml:space="preserve">Kopiergeschwindigkeit von min. 20 Seiten/Minute s/w (DIN A4)</v>
          </cell>
        </row>
        <row r="15">
          <cell r="J15" t="str">
            <v xml:space="preserve">Kopiergeschwindigkeit von min. 40 Seiten/Minute s/w (DIN A4)</v>
          </cell>
        </row>
        <row r="22">
          <cell r="D22" t="str">
            <v>JA</v>
          </cell>
          <cell r="F22" t="str">
            <v xml:space="preserve">Zu verarbeitende Papierformate: DIN A4 und DIN A5</v>
          </cell>
        </row>
        <row r="23">
          <cell r="D23" t="str">
            <v>NEIN</v>
          </cell>
          <cell r="F23" t="str">
            <v xml:space="preserve">Zu verarbeitende Papierformate: DIN A3, DIN A4 und DIN A5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Tabelle74" ref="A4:K10">
  <autoFilter ref="A4:K1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</autoFilter>
  <tableColumns count="11">
    <tableColumn id="1" name="Referenz" dataDxfId="0"/>
    <tableColumn id="2" name="Kriterium" dataDxfId="1"/>
    <tableColumn id="3" name="Kriterien-klassifi-zierung" dataDxfId="2"/>
    <tableColumn id="4" name="Beantwor-tungsart" dataDxfId="3"/>
    <tableColumn id="5" name="GP" dataDxfId="4"/>
    <tableColumn id="6" name="max. BP" dataDxfId="5"/>
    <tableColumn id="7" name="max. LP" dataDxfId="6"/>
    <tableColumn id="8" name="% Gesamt" dataDxfId="7"/>
    <tableColumn id="9" name="Beantwortung durch_x000a_den Bieter" dataDxfId="8"/>
    <tableColumn id="10" name="AUSWERTUNG_x000a_erreichte LP" dataDxfId="9"/>
    <tableColumn id="11" name="Unterkriterien der Vergabestelle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displayName="Tabelle250" ref="A8:K17" headerRowCount="0">
  <tableColumns count="11">
    <tableColumn id="1" name="Spalte1" dataDxfId="10"/>
    <tableColumn id="2" name="Spalte2" dataDxfId="11"/>
    <tableColumn id="3" name="Spalte3" dataDxfId="12"/>
    <tableColumn id="4" name="Spalte4" dataDxfId="13"/>
    <tableColumn id="5" name="Spalte5" dataDxfId="14"/>
    <tableColumn id="6" name="Spalte6" dataDxfId="15"/>
    <tableColumn id="7" name="Spalte7" dataDxfId="16"/>
    <tableColumn id="8" name="Spalte8" dataDxfId="17"/>
    <tableColumn id="9" name="Spalte9" dataDxfId="18"/>
    <tableColumn id="10" name="Spalte10" dataDxfId="19"/>
    <tableColumn id="11" name="Spalte11" dataDxfId="20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displayName="Tabelle351" ref="A19:K24" headerRowCount="0">
  <tableColumns count="11">
    <tableColumn id="1" name="Spalte1" totalsRowLabel="Ergebnis" dataDxfId="21"/>
    <tableColumn id="2" name="Spalte2" dataDxfId="22"/>
    <tableColumn id="3" name="Spalte3" dataDxfId="23"/>
    <tableColumn id="4" name="Spalte4" dataDxfId="24"/>
    <tableColumn id="5" name="Spalte5" dataDxfId="25"/>
    <tableColumn id="6" name="Spalte6" dataDxfId="26"/>
    <tableColumn id="7" name="Spalte7" dataDxfId="27"/>
    <tableColumn id="8" name="Spalte8" dataDxfId="28"/>
    <tableColumn id="9" name="Spalte9" dataDxfId="29"/>
    <tableColumn id="10" name="Spalte10" totalsRowFunction="sum" dataDxfId="30"/>
    <tableColumn id="11" name="Spalte11" dataDxfId="31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displayName="Tabelle1652" ref="A26:K27" headerRowCount="0">
  <tableColumns count="11">
    <tableColumn id="1" name="Spalte1" dataDxfId="32"/>
    <tableColumn id="2" name="Spalte2" dataDxfId="33"/>
    <tableColumn id="3" name="Spalte3" dataDxfId="34"/>
    <tableColumn id="4" name="Spalte4" dataDxfId="35"/>
    <tableColumn id="5" name="Spalte5" dataDxfId="36"/>
    <tableColumn id="6" name="Spalte6" dataDxfId="37"/>
    <tableColumn id="7" name="Spalte7" dataDxfId="38"/>
    <tableColumn id="8" name="Spalte8" dataDxfId="39"/>
    <tableColumn id="9" name="Spalte9" dataDxfId="40"/>
    <tableColumn id="10" name="Spalte10" dataDxfId="41"/>
    <tableColumn id="11" name="Spalte11" dataDxfId="42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displayName="Tabelle1853" ref="A29:K29" headerRowCount="0">
  <tableColumns count="11">
    <tableColumn id="1" name="Spalte1" dataDxfId="43"/>
    <tableColumn id="2" name="Spalte2" dataDxfId="44"/>
    <tableColumn id="3" name="Spalte3" dataDxfId="45"/>
    <tableColumn id="4" name="Spalte4" dataDxfId="46"/>
    <tableColumn id="5" name="Spalte5" dataDxfId="47"/>
    <tableColumn id="6" name="Spalte6" dataDxfId="48"/>
    <tableColumn id="7" name="Spalte7" dataDxfId="49"/>
    <tableColumn id="8" name="Spalte8" dataDxfId="50"/>
    <tableColumn id="9" name="Spalte9" dataDxfId="51"/>
    <tableColumn id="10" name="Spalte10" dataDxfId="52"/>
    <tableColumn id="11" name="Spalte11" dataDxfId="53"/>
  </tableColumns>
  <tableStyleInfo name="RZ Test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displayName="Tabelle1954" ref="A32:K40" headerRowCount="0">
  <tableColumns count="11">
    <tableColumn id="1" name="Spalte1" dataDxfId="54"/>
    <tableColumn id="2" name="Spalte2" dataDxfId="55"/>
    <tableColumn id="3" name="Spalte3" dataDxfId="56"/>
    <tableColumn id="4" name="Spalte4" dataDxfId="57"/>
    <tableColumn id="5" name="Spalte5" dataDxfId="58"/>
    <tableColumn id="6" name="Spalte6" dataDxfId="59"/>
    <tableColumn id="7" name="Spalte7" dataDxfId="60"/>
    <tableColumn id="8" name="Spalte8" dataDxfId="61"/>
    <tableColumn id="9" name="Spalte9" dataDxfId="62"/>
    <tableColumn id="10" name="Spalte10" dataDxfId="63"/>
    <tableColumn id="11" name="Spalte11" dataDxfId="64"/>
  </tableColumns>
  <tableStyleInfo name="RZ Tes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displayName="Tabelle2055" ref="A42:K48" headerRowCount="0">
  <tableColumns count="11">
    <tableColumn id="1" name="Spalte1" dataDxfId="65"/>
    <tableColumn id="2" name="Spalte2" dataDxfId="66"/>
    <tableColumn id="3" name="Spalte3" dataDxfId="67"/>
    <tableColumn id="4" name="Spalte4" dataDxfId="68"/>
    <tableColumn id="5" name="Spalte5" dataDxfId="69"/>
    <tableColumn id="6" name="Spalte6" dataDxfId="70"/>
    <tableColumn id="7" name="Spalte7" dataDxfId="71"/>
    <tableColumn id="8" name="Spalte8" dataDxfId="72"/>
    <tableColumn id="9" name="Spalte9" dataDxfId="73"/>
    <tableColumn id="10" name="Spalte10" dataDxfId="74"/>
    <tableColumn id="11" name="Spalte11" dataDxfId="75"/>
  </tableColumns>
  <tableStyleInfo name="RZ Test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displayName="Tabelle2156" ref="A54:K56" headerRowCount="0">
  <tableColumns count="11">
    <tableColumn id="1" name="Spalte1" dataDxfId="76"/>
    <tableColumn id="2" name="Spalte2" dataDxfId="77"/>
    <tableColumn id="3" name="Spalte3" dataDxfId="78"/>
    <tableColumn id="4" name="Spalte4" dataDxfId="79"/>
    <tableColumn id="5" name="Spalte5" dataDxfId="80"/>
    <tableColumn id="6" name="Spalte6" dataDxfId="81"/>
    <tableColumn id="7" name="Spalte7" dataDxfId="82"/>
    <tableColumn id="8" name="Spalte8" dataDxfId="83"/>
    <tableColumn id="9" name="Spalte9" dataDxfId="84"/>
    <tableColumn id="10" name="Spalte10" dataDxfId="85"/>
    <tableColumn id="11" name="Spalte11" dataDxfId="86"/>
  </tableColumns>
  <tableStyleInfo name="RZ Test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displayName="Tabelle2257" ref="A51:K51" headerRowCount="0">
  <tableColumns count="11">
    <tableColumn id="1" name="Spalte1" dataDxfId="87"/>
    <tableColumn id="2" name="Spalte2" dataDxfId="88"/>
    <tableColumn id="3" name="Spalte3" dataDxfId="89"/>
    <tableColumn id="4" name="Spalte4" dataDxfId="90"/>
    <tableColumn id="5" name="Spalte5" dataDxfId="91"/>
    <tableColumn id="6" name="Spalte6" dataDxfId="92"/>
    <tableColumn id="7" name="Spalte7" dataDxfId="93"/>
    <tableColumn id="8" name="Spalte8" dataDxfId="94"/>
    <tableColumn id="9" name="Spalte9" dataDxfId="95"/>
    <tableColumn id="10" name="Spalte10" dataDxfId="96"/>
    <tableColumn id="11" name="Spalte11" dataDxfId="97"/>
  </tableColumns>
  <tableStyleInfo name="RZ Test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displayName="Tabelle2358" ref="A59:K59" headerRowCount="0">
  <tableColumns count="11">
    <tableColumn id="1" name="Spalte1" dataDxfId="98"/>
    <tableColumn id="2" name="Spalte2" dataDxfId="99"/>
    <tableColumn id="3" name="Spalte3" dataDxfId="100"/>
    <tableColumn id="4" name="Spalte4" dataDxfId="101"/>
    <tableColumn id="5" name="Spalte5" dataDxfId="102"/>
    <tableColumn id="6" name="Spalte6" dataDxfId="103"/>
    <tableColumn id="7" name="Spalte7" dataDxfId="104"/>
    <tableColumn id="8" name="Spalte8" dataDxfId="105"/>
    <tableColumn id="9" name="Spalte9" dataDxfId="106"/>
    <tableColumn id="10" name="Spalte10" dataDxfId="107"/>
    <tableColumn id="11" name="Spalte11" dataDxfId="108"/>
  </tableColumns>
  <tableStyleInfo name="RZ Test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displayName="Tabelle2660" ref="A62:K64" headerRowCount="0">
  <tableColumns count="11">
    <tableColumn id="1" name="Spalte1" dataDxfId="109"/>
    <tableColumn id="2" name="Spalte2" dataDxfId="110"/>
    <tableColumn id="3" name="Spalte3" dataDxfId="111"/>
    <tableColumn id="4" name="Spalte4" dataDxfId="112"/>
    <tableColumn id="5" name="Spalte5" dataDxfId="113"/>
    <tableColumn id="6" name="Spalte6" dataDxfId="114"/>
    <tableColumn id="7" name="Spalte7" dataDxfId="115"/>
    <tableColumn id="8" name="Spalte8" dataDxfId="116"/>
    <tableColumn id="9" name="Spalte9" dataDxfId="117"/>
    <tableColumn id="10" name="Spalte10" dataDxfId="118"/>
    <tableColumn id="11" name="Spalte11" dataDxfId="119"/>
  </tableColumns>
  <tableStyleInfo name="RZ Test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displayName="Tabelle2761" ref="A66:K95" headerRowCount="0">
  <tableColumns count="11">
    <tableColumn id="1" name="Spalte1" dataDxfId="120"/>
    <tableColumn id="2" name="Spalte2" dataDxfId="121"/>
    <tableColumn id="3" name="Spalte3" dataDxfId="122"/>
    <tableColumn id="4" name="Spalte4" dataDxfId="123"/>
    <tableColumn id="5" name="Spalte5" dataDxfId="124"/>
    <tableColumn id="6" name="Spalte6" dataDxfId="125"/>
    <tableColumn id="7" name="Spalte7" dataDxfId="126"/>
    <tableColumn id="8" name="Spalte8" dataDxfId="127"/>
    <tableColumn id="9" name="Spalte9" dataDxfId="128"/>
    <tableColumn id="10" name="Spalte10" dataDxfId="129"/>
    <tableColumn id="11" name="Spalte11" dataDxfId="130"/>
  </tableColumns>
  <tableStyleInfo name="RZ Test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displayName="Tabelle2" ref="A8:K18" headerRowCount="0">
  <tableColumns count="11">
    <tableColumn id="1" name="Spalte1" dataDxfId="131"/>
    <tableColumn id="2" name="Spalte2" dataDxfId="132"/>
    <tableColumn id="3" name="Spalte3" dataDxfId="133"/>
    <tableColumn id="4" name="Spalte4" dataDxfId="134"/>
    <tableColumn id="5" name="Spalte5" dataDxfId="135"/>
    <tableColumn id="6" name="Spalte6" dataDxfId="136"/>
    <tableColumn id="7" name="Spalte7" dataDxfId="137"/>
    <tableColumn id="8" name="Spalte8" dataDxfId="138"/>
    <tableColumn id="9" name="Spalte9" dataDxfId="139"/>
    <tableColumn id="10" name="Spalte10" dataDxfId="140"/>
    <tableColumn id="11" name="Spalte11" dataDxfId="141"/>
  </tableColumns>
  <tableStyleInfo name="TableStyleMedium4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displayName="Tabelle3" ref="A20:K25" headerRowCount="0">
  <tableColumns count="11">
    <tableColumn id="1" name="Spalte1" totalsRowLabel="Ergebnis" dataDxfId="142"/>
    <tableColumn id="2" name="Spalte2" dataDxfId="143"/>
    <tableColumn id="3" name="Spalte3" dataDxfId="144"/>
    <tableColumn id="4" name="Spalte4" dataDxfId="145"/>
    <tableColumn id="5" name="Spalte5" dataDxfId="146"/>
    <tableColumn id="6" name="Spalte6" dataDxfId="147"/>
    <tableColumn id="7" name="Spalte7" dataDxfId="148"/>
    <tableColumn id="8" name="Spalte8" dataDxfId="149"/>
    <tableColumn id="9" name="Spalte9" dataDxfId="150"/>
    <tableColumn id="10" name="Spalte10" totalsRowFunction="sum" dataDxfId="151"/>
    <tableColumn id="11" name="Spalte11" dataDxfId="152"/>
  </tableColumns>
  <tableStyleInfo name="TableStyleMedium4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displayName="Tabelle16" ref="A27:K28" headerRowCount="0">
  <tableColumns count="11">
    <tableColumn id="1" name="Spalte1" dataDxfId="153"/>
    <tableColumn id="2" name="Spalte2" dataDxfId="154"/>
    <tableColumn id="3" name="Spalte3" dataDxfId="155"/>
    <tableColumn id="4" name="Spalte4" dataDxfId="156"/>
    <tableColumn id="5" name="Spalte5" dataDxfId="157"/>
    <tableColumn id="6" name="Spalte6" dataDxfId="158"/>
    <tableColumn id="7" name="Spalte7" dataDxfId="159"/>
    <tableColumn id="8" name="Spalte8" dataDxfId="160"/>
    <tableColumn id="9" name="Spalte9" dataDxfId="161"/>
    <tableColumn id="10" name="Spalte10" dataDxfId="162"/>
    <tableColumn id="11" name="Spalte11" dataDxfId="163"/>
  </tableColumns>
  <tableStyleInfo name="TableStyleMedium4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displayName="Tabelle18" ref="A30:K30" headerRowCount="0">
  <tableColumns count="11">
    <tableColumn id="1" name="Spalte1" dataDxfId="164"/>
    <tableColumn id="2" name="Spalte2" dataDxfId="165"/>
    <tableColumn id="3" name="Spalte3" dataDxfId="166"/>
    <tableColumn id="4" name="Spalte4" dataDxfId="167"/>
    <tableColumn id="5" name="Spalte5" dataDxfId="168"/>
    <tableColumn id="6" name="Spalte6" dataDxfId="169"/>
    <tableColumn id="7" name="Spalte7" dataDxfId="170"/>
    <tableColumn id="8" name="Spalte8" dataDxfId="171"/>
    <tableColumn id="9" name="Spalte9" dataDxfId="172"/>
    <tableColumn id="10" name="Spalte10" dataDxfId="173"/>
    <tableColumn id="11" name="Spalte11" dataDxfId="174"/>
  </tableColumns>
  <tableStyleInfo name="RZ Test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displayName="Tabelle19" ref="A33:K40" headerRowCount="0">
  <tableColumns count="11">
    <tableColumn id="1" name="Spalte1" dataDxfId="175"/>
    <tableColumn id="2" name="Spalte2" dataDxfId="176"/>
    <tableColumn id="3" name="Spalte3" dataDxfId="177"/>
    <tableColumn id="4" name="Spalte4" dataDxfId="178"/>
    <tableColumn id="5" name="Spalte5" dataDxfId="179"/>
    <tableColumn id="6" name="Spalte6" dataDxfId="180"/>
    <tableColumn id="7" name="Spalte7" dataDxfId="181"/>
    <tableColumn id="8" name="Spalte8" dataDxfId="182"/>
    <tableColumn id="9" name="Spalte9" dataDxfId="183"/>
    <tableColumn id="10" name="Spalte10" dataDxfId="184"/>
    <tableColumn id="11" name="Spalte11" dataDxfId="185"/>
  </tableColumns>
  <tableStyleInfo name="RZ Test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displayName="Tabelle21" ref="A63:K65" headerRowCount="0">
  <tableColumns count="11">
    <tableColumn id="1" name="Spalte1" dataDxfId="186"/>
    <tableColumn id="2" name="Spalte2" dataDxfId="187"/>
    <tableColumn id="3" name="Spalte3" dataDxfId="188"/>
    <tableColumn id="4" name="Spalte4" dataDxfId="189"/>
    <tableColumn id="5" name="Spalte5" dataDxfId="190"/>
    <tableColumn id="6" name="Spalte6" dataDxfId="191"/>
    <tableColumn id="7" name="Spalte7" dataDxfId="192"/>
    <tableColumn id="8" name="Spalte8" dataDxfId="193"/>
    <tableColumn id="9" name="Spalte9" dataDxfId="194"/>
    <tableColumn id="10" name="Spalte10" dataDxfId="195"/>
    <tableColumn id="11" name="Spalte11" dataDxfId="196"/>
  </tableColumns>
  <tableStyleInfo name="RZ Test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displayName="Tabelle23" ref="A68:K69" headerRowCount="0">
  <tableColumns count="11">
    <tableColumn id="1" name="Spalte1" dataDxfId="197"/>
    <tableColumn id="2" name="Spalte2" dataDxfId="198"/>
    <tableColumn id="3" name="Spalte3" dataDxfId="199"/>
    <tableColumn id="4" name="Spalte4" dataDxfId="200"/>
    <tableColumn id="5" name="Spalte5" dataDxfId="201"/>
    <tableColumn id="6" name="Spalte6" dataDxfId="202"/>
    <tableColumn id="7" name="Spalte7" dataDxfId="203"/>
    <tableColumn id="8" name="Spalte8" dataDxfId="204"/>
    <tableColumn id="9" name="Spalte9" dataDxfId="205"/>
    <tableColumn id="10" name="Spalte10" dataDxfId="206"/>
    <tableColumn id="11" name="Spalte11" dataDxfId="207"/>
  </tableColumns>
  <tableStyleInfo name="RZ Test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displayName="Tabelle26" ref="A72:K74" headerRowCount="0">
  <tableColumns count="11">
    <tableColumn id="1" name="Spalte1" dataDxfId="208"/>
    <tableColumn id="2" name="Spalte2" dataDxfId="209"/>
    <tableColumn id="3" name="Spalte3" dataDxfId="210"/>
    <tableColumn id="4" name="Spalte4" dataDxfId="211"/>
    <tableColumn id="5" name="Spalte5" dataDxfId="212"/>
    <tableColumn id="6" name="Spalte6" dataDxfId="213"/>
    <tableColumn id="7" name="Spalte7" dataDxfId="214"/>
    <tableColumn id="8" name="Spalte8" dataDxfId="215"/>
    <tableColumn id="9" name="Spalte9" dataDxfId="216"/>
    <tableColumn id="10" name="Spalte10" dataDxfId="217"/>
    <tableColumn id="11" name="Spalte11" dataDxfId="218"/>
  </tableColumns>
  <tableStyleInfo name="RZ Test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displayName="Tabelle27" ref="A76:K105" headerRowCount="0">
  <tableColumns count="11">
    <tableColumn id="1" name="Spalte1" dataDxfId="219"/>
    <tableColumn id="2" name="Spalte2" dataDxfId="220"/>
    <tableColumn id="3" name="Spalte3" dataDxfId="221"/>
    <tableColumn id="4" name="Spalte4" dataDxfId="222"/>
    <tableColumn id="5" name="Spalte5" dataDxfId="223"/>
    <tableColumn id="6" name="Spalte6" dataDxfId="224"/>
    <tableColumn id="7" name="Spalte7" dataDxfId="225"/>
    <tableColumn id="8" name="Spalte8" dataDxfId="226"/>
    <tableColumn id="9" name="Spalte9" dataDxfId="227"/>
    <tableColumn id="10" name="Spalte10" dataDxfId="228"/>
    <tableColumn id="11" name="Spalte11" dataDxfId="229"/>
  </tableColumns>
  <tableStyleInfo name="RZ Test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displayName="Tabelle209823762" ref="A42:K50" headerRowCount="0">
  <tableColumns count="11">
    <tableColumn id="1" name="Spalte1" dataDxfId="230"/>
    <tableColumn id="2" name="Spalte2" dataDxfId="231"/>
    <tableColumn id="3" name="Spalte3" dataDxfId="232"/>
    <tableColumn id="4" name="Spalte4" dataDxfId="233"/>
    <tableColumn id="5" name="Spalte5" dataDxfId="234"/>
    <tableColumn id="6" name="Spalte6" dataDxfId="235"/>
    <tableColumn id="7" name="Spalte7" dataDxfId="236"/>
    <tableColumn id="8" name="Spalte8" dataDxfId="237"/>
    <tableColumn id="9" name="Spalte9" dataDxfId="238"/>
    <tableColumn id="10" name="Spalte10" dataDxfId="239"/>
    <tableColumn id="11" name="Spalte11" dataDxfId="240"/>
  </tableColumns>
  <tableStyleInfo name="RZ Test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displayName="Tabelle228542" ref="A52:K60" headerRowCount="0">
  <tableColumns count="11">
    <tableColumn id="1" name="Spalte1" dataDxfId="241"/>
    <tableColumn id="2" name="Spalte2" dataDxfId="242"/>
    <tableColumn id="3" name="Spalte3" dataDxfId="243"/>
    <tableColumn id="4" name="Spalte4" dataDxfId="244"/>
    <tableColumn id="5" name="Spalte5" dataDxfId="245"/>
    <tableColumn id="6" name="Spalte6" dataDxfId="246"/>
    <tableColumn id="7" name="Spalte7" dataDxfId="247"/>
    <tableColumn id="8" name="Spalte8" dataDxfId="248"/>
    <tableColumn id="9" name="Spalte9" dataDxfId="249"/>
    <tableColumn id="10" name="Spalte10" dataDxfId="250"/>
    <tableColumn id="11" name="Spalte11" dataDxfId="251"/>
  </tableColumns>
  <tableStyleInfo name="RZ Test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displayName="Tabelle279" ref="A8:K18" headerRowCount="0">
  <tableColumns count="11">
    <tableColumn id="1" name="Spalte1" dataDxfId="252"/>
    <tableColumn id="2" name="Spalte2" dataDxfId="253"/>
    <tableColumn id="3" name="Spalte3" dataDxfId="254"/>
    <tableColumn id="4" name="Spalte4" dataDxfId="255"/>
    <tableColumn id="5" name="Spalte5" dataDxfId="256"/>
    <tableColumn id="6" name="Spalte6" dataDxfId="257"/>
    <tableColumn id="7" name="Spalte7" dataDxfId="258"/>
    <tableColumn id="8" name="Spalte8" dataDxfId="259"/>
    <tableColumn id="9" name="Spalte9" dataDxfId="260"/>
    <tableColumn id="10" name="Spalte10" dataDxfId="261"/>
    <tableColumn id="11" name="Spalte11" dataDxfId="262"/>
  </tableColumns>
  <tableStyleInfo name="TableStyleMedium4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displayName="Tabelle380" ref="A20:K25" headerRowCount="0">
  <tableColumns count="11">
    <tableColumn id="1" name="Spalte1" totalsRowLabel="Ergebnis" dataDxfId="263"/>
    <tableColumn id="2" name="Spalte2" dataDxfId="264"/>
    <tableColumn id="3" name="Spalte3" dataDxfId="265"/>
    <tableColumn id="4" name="Spalte4" dataDxfId="266"/>
    <tableColumn id="5" name="Spalte5" dataDxfId="267"/>
    <tableColumn id="6" name="Spalte6" dataDxfId="268"/>
    <tableColumn id="7" name="Spalte7" dataDxfId="269"/>
    <tableColumn id="8" name="Spalte8" dataDxfId="270"/>
    <tableColumn id="9" name="Spalte9" dataDxfId="271"/>
    <tableColumn id="10" name="Spalte10" totalsRowFunction="sum" dataDxfId="272"/>
    <tableColumn id="11" name="Spalte11" dataDxfId="273"/>
  </tableColumns>
  <tableStyleInfo name="TableStyleMedium4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displayName="Tabelle1681" ref="A27:K28" headerRowCount="0">
  <tableColumns count="11">
    <tableColumn id="1" name="Spalte1" dataDxfId="274"/>
    <tableColumn id="2" name="Spalte2" dataDxfId="275"/>
    <tableColumn id="3" name="Spalte3" dataDxfId="276"/>
    <tableColumn id="4" name="Spalte4" dataDxfId="277"/>
    <tableColumn id="5" name="Spalte5" dataDxfId="278"/>
    <tableColumn id="6" name="Spalte6" dataDxfId="279"/>
    <tableColumn id="7" name="Spalte7" dataDxfId="280"/>
    <tableColumn id="8" name="Spalte8" dataDxfId="281"/>
    <tableColumn id="9" name="Spalte9" dataDxfId="282"/>
    <tableColumn id="10" name="Spalte10" dataDxfId="283"/>
    <tableColumn id="11" name="Spalte11" dataDxfId="284"/>
  </tableColumns>
  <tableStyleInfo name="TableStyleMedium4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displayName="Tabelle1882" ref="A30:K30" headerRowCount="0">
  <tableColumns count="11">
    <tableColumn id="1" name="Spalte1" dataDxfId="285"/>
    <tableColumn id="2" name="Spalte2" dataDxfId="286"/>
    <tableColumn id="3" name="Spalte3" dataDxfId="287"/>
    <tableColumn id="4" name="Spalte4" dataDxfId="288"/>
    <tableColumn id="5" name="Spalte5" dataDxfId="289"/>
    <tableColumn id="6" name="Spalte6" dataDxfId="290"/>
    <tableColumn id="7" name="Spalte7" dataDxfId="291"/>
    <tableColumn id="8" name="Spalte8" dataDxfId="292"/>
    <tableColumn id="9" name="Spalte9" dataDxfId="293"/>
    <tableColumn id="10" name="Spalte10" dataDxfId="294"/>
    <tableColumn id="11" name="Spalte11" dataDxfId="295"/>
  </tableColumns>
  <tableStyleInfo name="RZ Test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displayName="Tabelle1983" ref="A34:K41" headerRowCount="0">
  <tableColumns count="11">
    <tableColumn id="1" name="Spalte1" dataDxfId="296"/>
    <tableColumn id="2" name="Spalte2" dataDxfId="297"/>
    <tableColumn id="3" name="Spalte3" dataDxfId="298"/>
    <tableColumn id="4" name="Spalte4" dataDxfId="299"/>
    <tableColumn id="5" name="Spalte5" dataDxfId="300"/>
    <tableColumn id="6" name="Spalte6" dataDxfId="301"/>
    <tableColumn id="7" name="Spalte7" dataDxfId="302"/>
    <tableColumn id="8" name="Spalte8" dataDxfId="303"/>
    <tableColumn id="9" name="Spalte9" dataDxfId="304"/>
    <tableColumn id="10" name="Spalte10" dataDxfId="305"/>
    <tableColumn id="11" name="Spalte11" dataDxfId="306"/>
  </tableColumns>
  <tableStyleInfo name="RZ Test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displayName="Tabelle2184" ref="A65:K67" headerRowCount="0">
  <tableColumns count="11">
    <tableColumn id="1" name="Spalte1" dataDxfId="307"/>
    <tableColumn id="2" name="Spalte2" dataDxfId="308"/>
    <tableColumn id="3" name="Spalte3" dataDxfId="309"/>
    <tableColumn id="4" name="Spalte4" dataDxfId="310"/>
    <tableColumn id="5" name="Spalte5" dataDxfId="311"/>
    <tableColumn id="6" name="Spalte6" dataDxfId="312"/>
    <tableColumn id="7" name="Spalte7" dataDxfId="313"/>
    <tableColumn id="8" name="Spalte8" dataDxfId="314"/>
    <tableColumn id="9" name="Spalte9" dataDxfId="315"/>
    <tableColumn id="10" name="Spalte10" dataDxfId="316"/>
    <tableColumn id="11" name="Spalte11" dataDxfId="317"/>
  </tableColumns>
  <tableStyleInfo name="RZ Test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displayName="Tabelle2285" ref="A54:K62" headerRowCount="0">
  <tableColumns count="11">
    <tableColumn id="1" name="Spalte1" dataDxfId="318"/>
    <tableColumn id="2" name="Spalte2" dataDxfId="319"/>
    <tableColumn id="3" name="Spalte3" dataDxfId="320"/>
    <tableColumn id="4" name="Spalte4" dataDxfId="321"/>
    <tableColumn id="5" name="Spalte5" dataDxfId="322"/>
    <tableColumn id="6" name="Spalte6" dataDxfId="323"/>
    <tableColumn id="7" name="Spalte7" dataDxfId="324"/>
    <tableColumn id="8" name="Spalte8" dataDxfId="325"/>
    <tableColumn id="9" name="Spalte9" dataDxfId="326"/>
    <tableColumn id="10" name="Spalte10" dataDxfId="327"/>
    <tableColumn id="11" name="Spalte11" dataDxfId="328"/>
  </tableColumns>
  <tableStyleInfo name="RZ Test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displayName="Tabelle2386" ref="A70:K70" headerRowCount="0">
  <tableColumns count="11">
    <tableColumn id="1" name="Spalte1" dataDxfId="329"/>
    <tableColumn id="2" name="Spalte2" dataDxfId="330"/>
    <tableColumn id="3" name="Spalte3" dataDxfId="331"/>
    <tableColumn id="4" name="Spalte4" dataDxfId="332"/>
    <tableColumn id="5" name="Spalte5" dataDxfId="333"/>
    <tableColumn id="6" name="Spalte6" dataDxfId="334"/>
    <tableColumn id="7" name="Spalte7" dataDxfId="335"/>
    <tableColumn id="8" name="Spalte8" dataDxfId="336"/>
    <tableColumn id="9" name="Spalte9" dataDxfId="337"/>
    <tableColumn id="10" name="Spalte10" dataDxfId="338"/>
    <tableColumn id="11" name="Spalte11" dataDxfId="339"/>
  </tableColumns>
  <tableStyleInfo name="RZ Test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displayName="Tabelle2688" ref="A74:K76" headerRowCount="0">
  <tableColumns count="11">
    <tableColumn id="1" name="Spalte1" dataDxfId="340"/>
    <tableColumn id="2" name="Spalte2" dataDxfId="341"/>
    <tableColumn id="3" name="Spalte3" dataDxfId="342"/>
    <tableColumn id="4" name="Spalte4" dataDxfId="343"/>
    <tableColumn id="5" name="Spalte5" dataDxfId="344"/>
    <tableColumn id="6" name="Spalte6" dataDxfId="345"/>
    <tableColumn id="7" name="Spalte7" dataDxfId="346"/>
    <tableColumn id="8" name="Spalte8" dataDxfId="347"/>
    <tableColumn id="9" name="Spalte9" dataDxfId="348"/>
    <tableColumn id="10" name="Spalte10" dataDxfId="349"/>
    <tableColumn id="11" name="Spalte11" dataDxfId="350"/>
  </tableColumns>
  <tableStyleInfo name="RZ Test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displayName="Tabelle2789" ref="A78:K107" headerRowCount="0">
  <tableColumns count="11">
    <tableColumn id="1" name="Spalte1" dataDxfId="351"/>
    <tableColumn id="2" name="Spalte2" dataDxfId="352"/>
    <tableColumn id="3" name="Spalte3" dataDxfId="353"/>
    <tableColumn id="4" name="Spalte4" dataDxfId="354"/>
    <tableColumn id="5" name="Spalte5" dataDxfId="355"/>
    <tableColumn id="6" name="Spalte6" dataDxfId="356"/>
    <tableColumn id="7" name="Spalte7" dataDxfId="357"/>
    <tableColumn id="8" name="Spalte8" dataDxfId="358"/>
    <tableColumn id="9" name="Spalte9" dataDxfId="359"/>
    <tableColumn id="10" name="Spalte10" dataDxfId="360"/>
    <tableColumn id="11" name="Spalte11" dataDxfId="361"/>
  </tableColumns>
  <tableStyleInfo name="RZ Test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displayName="Tabelle20982376290" ref="A43:K52" headerRowCount="0">
  <tableColumns count="11">
    <tableColumn id="1" name="Spalte1" dataDxfId="362"/>
    <tableColumn id="2" name="Spalte2" dataDxfId="363"/>
    <tableColumn id="3" name="Spalte3" dataDxfId="364"/>
    <tableColumn id="4" name="Spalte4" dataDxfId="365"/>
    <tableColumn id="5" name="Spalte5" dataDxfId="366"/>
    <tableColumn id="6" name="Spalte6" dataDxfId="367"/>
    <tableColumn id="7" name="Spalte7" dataDxfId="368"/>
    <tableColumn id="8" name="Spalte8" dataDxfId="369"/>
    <tableColumn id="9" name="Spalte9" dataDxfId="370"/>
    <tableColumn id="10" name="Spalte10" dataDxfId="371"/>
    <tableColumn id="11" name="Spalte11" dataDxfId="372"/>
  </tableColumns>
  <tableStyleInfo name="RZ Test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displayName="Tabelle15" ref="A3:C13">
  <tableColumns count="3">
    <tableColumn id="1" name="Bewertungsgegenstand" dataDxfId="373"/>
    <tableColumn id="2" name="erreichte Punktzahl" dataDxfId="374"/>
    <tableColumn id="3" name="max. erreichtbare_x000a_Punktzahl" dataDxfId="375"/>
  </tableColumns>
  <tableStyleInfo name="TableStyleMedium15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vmlDrawing" Target="../drawings/vmlDrawing1.vml"/><Relationship  Id="rId2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Relationship  Id="rId10" Type="http://schemas.openxmlformats.org/officeDocument/2006/relationships/table" Target="../tables/table9.xml"/><Relationship  Id="rId11" Type="http://schemas.openxmlformats.org/officeDocument/2006/relationships/table" Target="../tables/table10.xml"/><Relationship  Id="rId12" Type="http://schemas.openxmlformats.org/officeDocument/2006/relationships/table" Target="../tables/table11.xml"/><Relationship  Id="rId13" Type="http://schemas.openxmlformats.org/officeDocument/2006/relationships/table" Target="../tables/table12.xml"/><Relationship  Id="rId2" Type="http://schemas.openxmlformats.org/officeDocument/2006/relationships/vmlDrawing" Target="../drawings/vmlDrawing2.vml"/><Relationship  Id="rId3" Type="http://schemas.openxmlformats.org/officeDocument/2006/relationships/table" Target="../tables/table2.xml"/><Relationship  Id="rId4" Type="http://schemas.openxmlformats.org/officeDocument/2006/relationships/table" Target="../tables/table3.xml"/><Relationship  Id="rId5" Type="http://schemas.openxmlformats.org/officeDocument/2006/relationships/table" Target="../tables/table4.xml"/><Relationship  Id="rId6" Type="http://schemas.openxmlformats.org/officeDocument/2006/relationships/table" Target="../tables/table5.xml"/><Relationship  Id="rId7" Type="http://schemas.openxmlformats.org/officeDocument/2006/relationships/table" Target="../tables/table6.xml"/><Relationship  Id="rId8" Type="http://schemas.openxmlformats.org/officeDocument/2006/relationships/table" Target="../tables/table7.xml"/><Relationship  Id="rId9" Type="http://schemas.openxmlformats.org/officeDocument/2006/relationships/table" Target="../tables/table8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Relationship  Id="rId10" Type="http://schemas.openxmlformats.org/officeDocument/2006/relationships/table" Target="../tables/table20.xml"/><Relationship  Id="rId11" Type="http://schemas.openxmlformats.org/officeDocument/2006/relationships/table" Target="../tables/table21.xml"/><Relationship  Id="rId12" Type="http://schemas.openxmlformats.org/officeDocument/2006/relationships/table" Target="../tables/table22.xml"/><Relationship  Id="rId13" Type="http://schemas.openxmlformats.org/officeDocument/2006/relationships/table" Target="../tables/table23.xml"/><Relationship  Id="rId2" Type="http://schemas.openxmlformats.org/officeDocument/2006/relationships/vmlDrawing" Target="../drawings/vmlDrawing3.vml"/><Relationship  Id="rId3" Type="http://schemas.openxmlformats.org/officeDocument/2006/relationships/table" Target="../tables/table13.xml"/><Relationship  Id="rId4" Type="http://schemas.openxmlformats.org/officeDocument/2006/relationships/table" Target="../tables/table14.xml"/><Relationship  Id="rId5" Type="http://schemas.openxmlformats.org/officeDocument/2006/relationships/table" Target="../tables/table15.xml"/><Relationship  Id="rId6" Type="http://schemas.openxmlformats.org/officeDocument/2006/relationships/table" Target="../tables/table16.xml"/><Relationship  Id="rId7" Type="http://schemas.openxmlformats.org/officeDocument/2006/relationships/table" Target="../tables/table17.xml"/><Relationship  Id="rId8" Type="http://schemas.openxmlformats.org/officeDocument/2006/relationships/table" Target="../tables/table18.xml"/><Relationship  Id="rId9" Type="http://schemas.openxmlformats.org/officeDocument/2006/relationships/table" Target="../tables/table19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Relationship  Id="rId10" Type="http://schemas.openxmlformats.org/officeDocument/2006/relationships/table" Target="../tables/table31.xml"/><Relationship  Id="rId11" Type="http://schemas.openxmlformats.org/officeDocument/2006/relationships/table" Target="../tables/table32.xml"/><Relationship  Id="rId12" Type="http://schemas.openxmlformats.org/officeDocument/2006/relationships/table" Target="../tables/table33.xml"/><Relationship  Id="rId13" Type="http://schemas.openxmlformats.org/officeDocument/2006/relationships/table" Target="../tables/table34.xml"/><Relationship  Id="rId2" Type="http://schemas.openxmlformats.org/officeDocument/2006/relationships/vmlDrawing" Target="../drawings/vmlDrawing4.vml"/><Relationship  Id="rId3" Type="http://schemas.openxmlformats.org/officeDocument/2006/relationships/table" Target="../tables/table24.xml"/><Relationship  Id="rId4" Type="http://schemas.openxmlformats.org/officeDocument/2006/relationships/table" Target="../tables/table25.xml"/><Relationship  Id="rId5" Type="http://schemas.openxmlformats.org/officeDocument/2006/relationships/table" Target="../tables/table26.xml"/><Relationship  Id="rId6" Type="http://schemas.openxmlformats.org/officeDocument/2006/relationships/table" Target="../tables/table27.xml"/><Relationship  Id="rId7" Type="http://schemas.openxmlformats.org/officeDocument/2006/relationships/table" Target="../tables/table28.xml"/><Relationship  Id="rId8" Type="http://schemas.openxmlformats.org/officeDocument/2006/relationships/table" Target="../tables/table29.xml"/><Relationship  Id="rId9" Type="http://schemas.openxmlformats.org/officeDocument/2006/relationships/table" Target="../tables/table30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vmlDrawing" Target="../drawings/vmlDrawing5.vml"/><Relationship  Id="rId2" Type="http://schemas.openxmlformats.org/officeDocument/2006/relationships/table" Target="../tables/table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Tabelle4">
    <outlinePr applyStyles="0" summaryBelow="1" summaryRight="1" showOutlineSymbols="1"/>
    <pageSetUpPr autoPageBreaks="1" fitToPage="0"/>
  </sheetPr>
  <sheetViews>
    <sheetView showGridLines="0" showRowColHeaders="0" topLeftCell="A5" zoomScale="100" workbookViewId="0">
      <selection activeCell="F5" activeCellId="0" sqref="F5"/>
    </sheetView>
  </sheetViews>
  <sheetFormatPr baseColWidth="10" defaultColWidth="10.86328125" defaultRowHeight="14.25"/>
  <cols>
    <col customWidth="1" min="1" max="1" style="1" width="14"/>
    <col customWidth="1" min="2" max="2" style="1" width="15"/>
    <col customWidth="1" min="3" max="3" style="1" width="21.6640625"/>
    <col customWidth="1" min="4" max="4" style="1" width="32.46484375"/>
    <col customWidth="1" min="5" max="5" style="1" width="4.46484375"/>
    <col customWidth="1" min="6" max="6" style="1" width="18"/>
    <col customWidth="1" min="7" max="7" style="1" width="14.6640625"/>
    <col customWidth="1" min="8" max="8" style="1" width="20.86328125"/>
    <col customWidth="1" min="9" max="9" style="1" width="18.19921875"/>
    <col customWidth="1" min="10" max="10" style="1" width="10.86328125"/>
    <col min="11" max="16384" style="1" width="10.86328125"/>
  </cols>
  <sheetData>
    <row r="1" ht="80.549999999999997" customHeight="1">
      <c r="A1" s="2" t="s">
        <v>0</v>
      </c>
      <c r="B1" s="2"/>
      <c r="C1" s="2"/>
      <c r="D1" s="2"/>
      <c r="E1" s="2"/>
      <c r="K1" s="3"/>
    </row>
    <row r="2" ht="9.5" customHeight="1">
      <c r="A2" s="4"/>
    </row>
    <row r="3" ht="49.5" customHeight="1">
      <c r="A3" s="5" t="s">
        <v>1</v>
      </c>
      <c r="B3" s="6"/>
      <c r="C3" s="6"/>
      <c r="D3" s="6"/>
      <c r="E3" s="6"/>
    </row>
    <row r="4" ht="143" customHeight="1">
      <c r="A4" s="7" t="s">
        <v>2</v>
      </c>
      <c r="B4" s="7"/>
      <c r="C4" s="7"/>
      <c r="D4" s="7"/>
      <c r="E4" s="7"/>
    </row>
    <row r="5" ht="48" customHeight="1">
      <c r="A5" s="8" t="s">
        <v>3</v>
      </c>
      <c r="B5" s="8"/>
      <c r="C5" s="8"/>
      <c r="D5" s="8"/>
      <c r="E5" s="8"/>
    </row>
    <row r="6" ht="38.549999999999997" customHeight="1">
      <c r="A6" s="9" t="s">
        <v>4</v>
      </c>
      <c r="B6" s="9"/>
    </row>
    <row r="7" ht="16.050000000000001" customHeight="1">
      <c r="A7" s="10" t="s">
        <v>5</v>
      </c>
      <c r="B7" s="11" t="s">
        <v>6</v>
      </c>
      <c r="C7" s="11"/>
      <c r="D7" s="11"/>
      <c r="E7" s="12"/>
    </row>
    <row r="8" s="13" customFormat="1" ht="15" customHeight="1">
      <c r="A8" s="14" t="s">
        <v>7</v>
      </c>
      <c r="B8" s="15" t="s">
        <v>8</v>
      </c>
      <c r="C8" s="15"/>
      <c r="D8" s="15"/>
      <c r="E8" s="16"/>
      <c r="G8" s="1"/>
      <c r="H8" s="1"/>
      <c r="I8" s="1"/>
      <c r="J8" s="1"/>
    </row>
    <row r="9" ht="60.5" customHeight="1">
      <c r="A9" s="17"/>
      <c r="B9" s="18" t="s">
        <v>9</v>
      </c>
      <c r="C9" s="18"/>
      <c r="D9" s="18"/>
      <c r="E9" s="19"/>
    </row>
    <row r="10" ht="65" customHeight="1">
      <c r="A10" s="20" t="s">
        <v>10</v>
      </c>
      <c r="B10" s="21" t="s">
        <v>11</v>
      </c>
      <c r="C10" s="21"/>
      <c r="D10" s="21"/>
      <c r="E10" s="22"/>
    </row>
    <row r="11" ht="45.5" customHeight="1">
      <c r="A11" s="23" t="s">
        <v>12</v>
      </c>
      <c r="B11" s="24" t="s">
        <v>13</v>
      </c>
      <c r="C11" s="24"/>
      <c r="D11" s="24"/>
      <c r="E11" s="25"/>
    </row>
    <row r="12">
      <c r="A12" s="26" t="s">
        <v>14</v>
      </c>
    </row>
    <row r="13" ht="48" customHeight="1">
      <c r="A13" s="27" t="s">
        <v>15</v>
      </c>
      <c r="B13" s="27"/>
      <c r="C13" s="27"/>
      <c r="D13" s="27"/>
      <c r="E13" s="27"/>
    </row>
    <row r="14" ht="15.75">
      <c r="A14" s="10" t="s">
        <v>5</v>
      </c>
      <c r="B14" s="11" t="s">
        <v>6</v>
      </c>
      <c r="C14" s="11"/>
      <c r="D14" s="11"/>
      <c r="E14" s="12"/>
    </row>
    <row r="15" ht="45" customHeight="1">
      <c r="A15" s="14" t="s">
        <v>16</v>
      </c>
      <c r="B15" s="15" t="s">
        <v>17</v>
      </c>
      <c r="C15" s="15"/>
      <c r="D15" s="15"/>
      <c r="E15" s="16"/>
    </row>
    <row r="16" ht="29.550000000000001" customHeight="1">
      <c r="A16" s="28" t="s">
        <v>18</v>
      </c>
      <c r="B16" s="21" t="s">
        <v>19</v>
      </c>
      <c r="C16" s="21"/>
      <c r="D16" s="21"/>
      <c r="E16" s="22"/>
    </row>
    <row r="17" ht="31.050000000000001" customHeight="1">
      <c r="A17" s="29" t="s">
        <v>20</v>
      </c>
      <c r="B17" s="30" t="s">
        <v>21</v>
      </c>
      <c r="C17" s="30"/>
      <c r="D17" s="30"/>
      <c r="E17" s="31"/>
    </row>
    <row r="18" ht="14.550000000000001" customHeight="1">
      <c r="A18" s="13"/>
      <c r="K18" s="13"/>
    </row>
    <row r="19" s="13" customFormat="1" ht="152.55000000000001" customHeight="1">
      <c r="A19" s="13" t="s">
        <v>22</v>
      </c>
      <c r="D19" s="32" t="s">
        <v>23</v>
      </c>
    </row>
    <row r="20" ht="29" customHeight="1">
      <c r="A20" s="33" t="s">
        <v>24</v>
      </c>
      <c r="B20" s="34"/>
      <c r="C20" s="34"/>
      <c r="D20" s="34"/>
      <c r="E20" s="34"/>
      <c r="F20" s="13"/>
      <c r="G20" s="13"/>
      <c r="H20" s="13"/>
      <c r="I20" s="13"/>
      <c r="J20" s="13"/>
      <c r="K20" s="13"/>
    </row>
    <row r="21">
      <c r="F21" s="13"/>
      <c r="G21" s="13"/>
      <c r="H21" s="13"/>
      <c r="I21" s="13"/>
      <c r="J21" s="13"/>
      <c r="K21" s="13"/>
    </row>
    <row r="22">
      <c r="A22" s="35" t="s">
        <v>25</v>
      </c>
      <c r="B22" s="36" t="s">
        <v>26</v>
      </c>
      <c r="C22" s="36" t="s">
        <v>27</v>
      </c>
      <c r="D22" s="36" t="s">
        <v>28</v>
      </c>
      <c r="F22" s="13"/>
      <c r="G22" s="13"/>
      <c r="H22" s="13"/>
      <c r="I22" s="13"/>
      <c r="J22" s="13"/>
      <c r="K22" s="13"/>
    </row>
    <row r="23" ht="56.549999999999997" customHeight="1">
      <c r="A23" s="37" t="s">
        <v>29</v>
      </c>
      <c r="B23" s="37" t="s">
        <v>30</v>
      </c>
      <c r="C23" s="38" t="s">
        <v>31</v>
      </c>
      <c r="D23" s="38"/>
      <c r="F23" s="13"/>
      <c r="G23" s="13"/>
      <c r="H23" s="13"/>
      <c r="I23" s="13"/>
      <c r="J23" s="13"/>
      <c r="K23" s="13"/>
    </row>
    <row r="24">
      <c r="A24" s="26" t="s">
        <v>32</v>
      </c>
      <c r="F24" s="13"/>
      <c r="G24" s="13"/>
      <c r="H24" s="13"/>
      <c r="I24" s="13"/>
      <c r="J24" s="13"/>
      <c r="K24" s="13"/>
    </row>
    <row r="25" ht="29" customHeight="1">
      <c r="A25" s="27" t="s">
        <v>33</v>
      </c>
      <c r="B25" s="27"/>
      <c r="C25" s="27"/>
      <c r="D25" s="27"/>
      <c r="E25" s="27"/>
      <c r="F25" s="13"/>
      <c r="G25" s="13"/>
      <c r="H25" s="13"/>
      <c r="I25" s="13"/>
      <c r="J25" s="13"/>
      <c r="K25" s="13"/>
    </row>
    <row r="26">
      <c r="A26" s="39" t="s">
        <v>34</v>
      </c>
      <c r="B26" s="39"/>
      <c r="C26" s="39"/>
      <c r="D26" s="39"/>
      <c r="E26" s="39"/>
      <c r="F26" s="13"/>
      <c r="G26" s="13"/>
      <c r="H26" s="13"/>
      <c r="I26" s="13"/>
      <c r="J26" s="13"/>
      <c r="K26" s="13"/>
    </row>
    <row r="27">
      <c r="A27" s="40"/>
      <c r="B27" s="41"/>
      <c r="C27" s="41"/>
      <c r="D27" s="41"/>
      <c r="E27" s="41"/>
      <c r="F27" s="13"/>
      <c r="G27" s="13"/>
      <c r="H27" s="13"/>
      <c r="I27" s="13"/>
      <c r="J27" s="13"/>
      <c r="K27" s="13"/>
    </row>
    <row r="28">
      <c r="A28" s="42" t="s">
        <v>35</v>
      </c>
      <c r="B28" s="36" t="s">
        <v>36</v>
      </c>
      <c r="C28" s="36" t="s">
        <v>37</v>
      </c>
      <c r="D28" s="43" t="s">
        <v>38</v>
      </c>
      <c r="E28" s="41"/>
      <c r="F28" s="13"/>
      <c r="G28" s="13"/>
      <c r="H28" s="13"/>
      <c r="I28" s="13"/>
      <c r="J28" s="13"/>
      <c r="K28" s="13"/>
    </row>
    <row r="29" ht="42.75">
      <c r="A29" s="37" t="s">
        <v>39</v>
      </c>
      <c r="B29" s="37" t="s">
        <v>40</v>
      </c>
      <c r="C29" s="37" t="s">
        <v>41</v>
      </c>
      <c r="D29" s="37" t="s">
        <v>42</v>
      </c>
      <c r="E29" s="41"/>
      <c r="F29" s="13"/>
      <c r="G29" s="13"/>
      <c r="H29" s="13"/>
      <c r="I29" s="13"/>
      <c r="J29" s="13"/>
      <c r="K29" s="13"/>
    </row>
    <row r="30" ht="31.5" customHeight="1">
      <c r="A30" s="42" t="s">
        <v>43</v>
      </c>
      <c r="B30" s="42"/>
      <c r="C30" s="42" t="s">
        <v>44</v>
      </c>
      <c r="D30" s="42"/>
      <c r="F30" s="13"/>
      <c r="G30" s="13"/>
      <c r="H30" s="13"/>
      <c r="I30" s="13"/>
      <c r="J30" s="13"/>
      <c r="K30" s="13"/>
    </row>
    <row r="31" ht="88.5" customHeight="1">
      <c r="A31" s="37" t="s">
        <v>45</v>
      </c>
      <c r="B31" s="37"/>
      <c r="C31" s="37" t="s">
        <v>46</v>
      </c>
      <c r="D31" s="37"/>
      <c r="F31" s="13"/>
      <c r="G31" s="13"/>
      <c r="H31" s="13"/>
      <c r="I31" s="13"/>
      <c r="J31" s="13"/>
      <c r="K31" s="13"/>
    </row>
    <row r="32">
      <c r="F32" s="13"/>
      <c r="G32" s="13"/>
      <c r="H32" s="13"/>
      <c r="I32" s="13"/>
      <c r="J32" s="13"/>
      <c r="K32" s="13"/>
    </row>
    <row r="33" ht="15.75">
      <c r="A33" s="44" t="s">
        <v>47</v>
      </c>
      <c r="B33" s="44"/>
      <c r="C33" s="44"/>
      <c r="D33" s="44"/>
      <c r="E33" s="44"/>
      <c r="F33" s="13"/>
      <c r="G33" s="13"/>
      <c r="H33" s="13"/>
      <c r="I33" s="13"/>
      <c r="J33" s="13"/>
      <c r="K33" s="13"/>
    </row>
    <row r="34" ht="31.5" customHeight="1">
      <c r="A34" s="8" t="s">
        <v>48</v>
      </c>
      <c r="B34" s="8"/>
      <c r="C34" s="8"/>
      <c r="D34" s="8"/>
      <c r="E34" s="8"/>
      <c r="F34" s="13"/>
      <c r="G34" s="13"/>
      <c r="H34" s="13"/>
      <c r="I34" s="13"/>
      <c r="J34" s="13"/>
      <c r="K34" s="13"/>
    </row>
    <row r="35" ht="47.549999999999997" customHeight="1">
      <c r="A35" s="27" t="s">
        <v>49</v>
      </c>
      <c r="B35" s="27"/>
      <c r="C35" s="27"/>
      <c r="D35" s="27"/>
      <c r="E35" s="27"/>
      <c r="F35" s="13"/>
      <c r="G35" s="13"/>
      <c r="H35" s="13"/>
      <c r="I35" s="13"/>
      <c r="J35" s="13"/>
      <c r="K35" s="13"/>
    </row>
    <row r="36" ht="36" customHeight="1">
      <c r="A36" s="8" t="s">
        <v>50</v>
      </c>
      <c r="B36" s="45"/>
      <c r="C36" s="45"/>
      <c r="D36" s="45"/>
      <c r="E36" s="45"/>
      <c r="F36" s="13"/>
      <c r="G36" s="13"/>
      <c r="H36" s="13"/>
      <c r="I36" s="13"/>
      <c r="J36" s="13"/>
      <c r="K36" s="13"/>
    </row>
    <row r="37">
      <c r="A37" s="45"/>
      <c r="B37" s="45"/>
      <c r="C37" s="45"/>
      <c r="D37" s="45"/>
      <c r="E37" s="45"/>
      <c r="F37" s="13"/>
      <c r="G37" s="13"/>
      <c r="H37" s="13"/>
      <c r="I37" s="13"/>
      <c r="J37" s="13"/>
      <c r="K37" s="13"/>
    </row>
    <row r="52">
      <c r="A52" s="4" t="s">
        <v>51</v>
      </c>
      <c r="B52" s="4"/>
      <c r="C52" s="4"/>
      <c r="D52" s="4"/>
      <c r="E52" s="4"/>
    </row>
    <row r="53" ht="31.050000000000001" customHeight="1">
      <c r="A53" s="8" t="s">
        <v>52</v>
      </c>
      <c r="B53" s="8"/>
      <c r="C53" s="8"/>
      <c r="D53" s="8"/>
      <c r="E53" s="8"/>
    </row>
    <row r="54" ht="32" customHeight="1">
      <c r="A54" s="8" t="s">
        <v>53</v>
      </c>
      <c r="B54" s="8"/>
      <c r="C54" s="8"/>
      <c r="D54" s="8"/>
      <c r="E54" s="8"/>
      <c r="F54" s="46"/>
    </row>
  </sheetData>
  <mergeCells count="31">
    <mergeCell ref="A13:E13"/>
    <mergeCell ref="B14:E14"/>
    <mergeCell ref="B15:E15"/>
    <mergeCell ref="B16:E16"/>
    <mergeCell ref="B17:E17"/>
    <mergeCell ref="B7:E7"/>
    <mergeCell ref="B8:E8"/>
    <mergeCell ref="B9:E9"/>
    <mergeCell ref="B10:E10"/>
    <mergeCell ref="B11:E11"/>
    <mergeCell ref="A1:E1"/>
    <mergeCell ref="A3:E3"/>
    <mergeCell ref="A4:E4"/>
    <mergeCell ref="A5:E5"/>
    <mergeCell ref="A6:B6"/>
    <mergeCell ref="A20:E20"/>
    <mergeCell ref="C23:D23"/>
    <mergeCell ref="A25:E25"/>
    <mergeCell ref="A30:B30"/>
    <mergeCell ref="C30:D30"/>
    <mergeCell ref="A26:E26"/>
    <mergeCell ref="A31:B31"/>
    <mergeCell ref="C31:D31"/>
    <mergeCell ref="A53:E53"/>
    <mergeCell ref="A54:E54"/>
    <mergeCell ref="A33:E33"/>
    <mergeCell ref="A34:E34"/>
    <mergeCell ref="A35:E35"/>
    <mergeCell ref="A36:E36"/>
    <mergeCell ref="A37:E37"/>
    <mergeCell ref="A52:E52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 differentFirst="1">
    <oddHeader>&amp;LAusschreibung TU Clausthal&amp;R&amp;"-,Regular "Erläuterungen und Hinweise</oddHeader>
    <oddFooter>&amp;LAusschreibung Nr. 02422/4/2/2019&amp;CPortal ID: CXQ6YYWYWMJ&amp;R&amp;A: Seite &amp;P von &amp;N</oddFooter>
    <firstFooter>&amp;RSeite &amp;P von &amp;N</first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Tabelle7">
    <outlinePr applyStyles="0" summaryBelow="1" summaryRight="1" showOutlineSymbols="1"/>
    <pageSetUpPr autoPageBreaks="1" fitToPage="1"/>
  </sheetPr>
  <sheetViews>
    <sheetView showGridLines="0" zoomScale="100" workbookViewId="0">
      <selection activeCell="G11" activeCellId="0" sqref="G11"/>
    </sheetView>
  </sheetViews>
  <sheetFormatPr baseColWidth="10" defaultRowHeight="14.25" outlineLevelRow="1"/>
  <cols>
    <col bestFit="1" customWidth="1" min="2" max="2" width="68.796875"/>
    <col bestFit="1" customWidth="1" min="3" max="3" width="7.796875"/>
    <col bestFit="1" customWidth="1" min="4" max="4" width="5.46484375"/>
    <col bestFit="1" customWidth="1" min="5" max="6" width="3.1328125"/>
    <col bestFit="1" customWidth="1" min="7" max="7" width="4.1328125"/>
    <col customWidth="1" min="8" max="8" width="10.53125"/>
    <col customWidth="1" min="9" max="9" width="13.46484375"/>
    <col customWidth="1" hidden="1" min="10" max="10" width="15.796875"/>
    <col customWidth="1" min="11" max="11" width="30.19921875"/>
  </cols>
  <sheetData>
    <row r="2" ht="26.25">
      <c r="A2" s="3" t="s">
        <v>54</v>
      </c>
    </row>
    <row r="4" ht="52.5">
      <c r="A4" s="47" t="s">
        <v>25</v>
      </c>
      <c r="B4" s="48" t="s">
        <v>26</v>
      </c>
      <c r="C4" s="49" t="s">
        <v>55</v>
      </c>
      <c r="D4" s="49" t="s">
        <v>56</v>
      </c>
      <c r="E4" s="49" t="s">
        <v>35</v>
      </c>
      <c r="F4" s="49" t="s">
        <v>36</v>
      </c>
      <c r="G4" s="49" t="s">
        <v>37</v>
      </c>
      <c r="H4" s="50" t="s">
        <v>38</v>
      </c>
      <c r="I4" s="51" t="s">
        <v>43</v>
      </c>
      <c r="J4" s="52" t="s">
        <v>57</v>
      </c>
      <c r="K4" s="53" t="s">
        <v>44</v>
      </c>
    </row>
    <row r="5" s="54" customFormat="1" ht="28.350000000000001" customHeight="1">
      <c r="A5" s="55" t="s">
        <v>58</v>
      </c>
      <c r="B5" s="56" t="s">
        <v>59</v>
      </c>
      <c r="C5" s="57"/>
      <c r="D5" s="57"/>
      <c r="E5" s="58"/>
      <c r="F5" s="59"/>
      <c r="G5" s="59"/>
      <c r="H5" s="60">
        <f>H6</f>
        <v>100</v>
      </c>
      <c r="I5" s="57"/>
      <c r="J5" s="57"/>
      <c r="K5" s="61"/>
    </row>
    <row r="6" s="54" customFormat="1" ht="13.9">
      <c r="A6" s="62" t="s">
        <v>60</v>
      </c>
      <c r="B6" s="63" t="s">
        <v>61</v>
      </c>
      <c r="C6" s="63"/>
      <c r="D6" s="63"/>
      <c r="E6" s="63"/>
      <c r="F6" s="63"/>
      <c r="G6" s="63"/>
      <c r="H6" s="64">
        <f>SUM(H7:H10)</f>
        <v>100</v>
      </c>
      <c r="I6" s="65"/>
      <c r="J6" s="63"/>
      <c r="K6" s="63"/>
    </row>
    <row r="7" s="66" customFormat="1" ht="113.25" customHeight="1" outlineLevel="1">
      <c r="A7" s="67" t="s">
        <v>62</v>
      </c>
      <c r="B7" s="68" t="s">
        <v>63</v>
      </c>
      <c r="C7" s="69" t="s">
        <v>10</v>
      </c>
      <c r="D7" s="69" t="s">
        <v>20</v>
      </c>
      <c r="E7" s="69">
        <v>10</v>
      </c>
      <c r="F7" s="54">
        <v>10</v>
      </c>
      <c r="G7" s="54">
        <f t="shared" ref="G7:G9" si="0">IF(E7="","",E7*F7)</f>
        <v>100</v>
      </c>
      <c r="H7" s="70">
        <f>IF(E7="","",100/$G$11*G7)</f>
        <v>50</v>
      </c>
      <c r="I7" s="71" t="s">
        <v>64</v>
      </c>
      <c r="J7" s="71">
        <f>IF(I7="ja",100,0)</f>
        <v>0</v>
      </c>
      <c r="K7" s="68" t="s">
        <v>65</v>
      </c>
    </row>
    <row r="8" s="66" customFormat="1" ht="99.75" outlineLevel="1">
      <c r="A8" s="67" t="s">
        <v>66</v>
      </c>
      <c r="B8" s="68" t="s">
        <v>67</v>
      </c>
      <c r="C8" s="69" t="s">
        <v>12</v>
      </c>
      <c r="D8" s="69" t="s">
        <v>16</v>
      </c>
      <c r="E8" s="69"/>
      <c r="F8" s="54"/>
      <c r="G8" s="54" t="str">
        <f t="shared" si="0"/>
        <v/>
      </c>
      <c r="H8" s="70" t="str">
        <f>IF(E8="","",100/$G$98*G8)</f>
        <v/>
      </c>
      <c r="I8" s="71" t="s">
        <v>64</v>
      </c>
      <c r="J8" s="71"/>
      <c r="K8" s="68" t="s">
        <v>68</v>
      </c>
    </row>
    <row r="9" s="66" customFormat="1" ht="42.75" outlineLevel="1">
      <c r="A9" s="67" t="s">
        <v>69</v>
      </c>
      <c r="B9" s="68" t="s">
        <v>70</v>
      </c>
      <c r="C9" s="69" t="s">
        <v>10</v>
      </c>
      <c r="D9" s="69" t="s">
        <v>20</v>
      </c>
      <c r="E9" s="69">
        <v>10</v>
      </c>
      <c r="F9" s="54">
        <v>10</v>
      </c>
      <c r="G9" s="54">
        <f t="shared" si="0"/>
        <v>100</v>
      </c>
      <c r="H9" s="70">
        <f>IF(E9="","",100/$G$11*G9)</f>
        <v>50</v>
      </c>
      <c r="I9" s="71" t="s">
        <v>64</v>
      </c>
      <c r="J9" s="71">
        <f>IF(I9="ja",100,0)</f>
        <v>0</v>
      </c>
      <c r="K9" s="68" t="s">
        <v>65</v>
      </c>
    </row>
    <row r="10" s="66" customFormat="1" ht="99.75" outlineLevel="1">
      <c r="A10" s="67" t="s">
        <v>71</v>
      </c>
      <c r="B10" s="68" t="s">
        <v>72</v>
      </c>
      <c r="C10" s="69" t="s">
        <v>12</v>
      </c>
      <c r="D10" s="69" t="s">
        <v>16</v>
      </c>
      <c r="E10" s="69"/>
      <c r="F10" s="54"/>
      <c r="G10" s="54" t="str">
        <f>IF(E10="","",E10*F10)</f>
        <v/>
      </c>
      <c r="H10" s="70" t="str">
        <f>IF(E10="","",100/$G$98*G10)</f>
        <v/>
      </c>
      <c r="I10" s="71" t="s">
        <v>64</v>
      </c>
      <c r="J10" s="71"/>
      <c r="K10" s="68" t="s">
        <v>73</v>
      </c>
    </row>
    <row r="11">
      <c r="B11" s="72" t="s">
        <v>74</v>
      </c>
      <c r="C11" s="73"/>
      <c r="D11" s="73"/>
      <c r="E11" s="73"/>
      <c r="F11" s="74"/>
      <c r="G11" s="75">
        <f>SUM(G7:G9)</f>
        <v>200</v>
      </c>
      <c r="H11" s="76">
        <f>SUM(H7:H9)</f>
        <v>100</v>
      </c>
      <c r="J11">
        <f>SUM(J7:J10)</f>
        <v>0</v>
      </c>
    </row>
  </sheetData>
  <protectedRanges>
    <protectedRange name="externe Software_1" sqref="I10 I8"/>
    <protectedRange name="interne Software_1" sqref="I7 I9"/>
  </protectedRanges>
  <dataValidations count="1" disablePrompts="0" xWindow="1410" yWindow="926">
    <dataValidation sqref="I9 I7" type="list" allowBlank="1" errorStyle="stop" imeMode="noControl" operator="between" prompt="Bitte wählen Sie aus dem Dropdown-Menü Ja oder Nein aus." promptTitle="Antwort wählen" showDropDown="0" showErrorMessage="1" showInputMessage="1">
      <formula1>Hilfsabellen!$B$3:$B$5</formula1>
    </dataValidation>
  </dataValidations>
  <printOptions headings="0" gridLines="0"/>
  <pageMargins left="0.70866141732283472" right="0.70866141732283472" top="0.78740157480314954" bottom="0.78740157480314954" header="0.31496062992125984" footer="0.31496062992125984"/>
  <pageSetup paperSize="9" scale="87" fitToWidth="1" fitToHeight="0" pageOrder="downThenOver" orientation="landscape" usePrinterDefaults="1" blackAndWhite="0" draft="0" cellComments="none" useFirstPageNumber="0" errors="displayed" horizontalDpi="600" verticalDpi="600" copies="1"/>
  <headerFooter>
    <oddHeader>&amp;L&amp;G</oddHeader>
    <oddFooter>&amp;LAusschreibung Nr. 02422/4/2/2019&amp;CPortal ID: CXQ6YYWYWMJ&amp;R&amp;A: Seite &amp;P von &amp;N</oddFooter>
  </headerFooter>
  <legacyDrawingHF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text="A" id="{0B457B13-EAB1-410F-AA5A-FAE897BFC75C}">
            <xm:f>NOT(ISERROR(SEARCH("A",C10)))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ellIs" priority="1" operator="equal" id="{6D0F30F9-1E25-493F-9053-AAB0C1A6554C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I5:I10</xm:sqref>
        </x14:conditionalFormatting>
        <x14:conditionalFormatting xmlns:xm="http://schemas.microsoft.com/office/excel/2006/main">
          <x14:cfRule type="containsText" priority="6" operator="containsText" text="nein" id="{B71030A8-15CB-4B4B-87DF-CD514B5F3C84}">
            <xm:f>NOT(ISERROR(SEARCH("nein",I7)))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 I9</xm:sqref>
        </x14:conditionalFormatting>
        <x14:conditionalFormatting xmlns:xm="http://schemas.microsoft.com/office/excel/2006/main">
          <x14:cfRule type="containsText" priority="4" operator="containsText" text="ZIP" id="{C71A7A14-A111-4A91-A909-DC4B79C47A44}">
            <xm:f>NOT(ISERROR(SEARCH("ZIP",I8)))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</xm:sqref>
        </x14:conditionalFormatting>
        <x14:conditionalFormatting xmlns:xm="http://schemas.microsoft.com/office/excel/2006/main">
          <x14:cfRule type="containsText" priority="5" operator="containsText" text="PDF" id="{7B30F44F-FB1E-4CDB-BE8E-C673D88B0D2B}">
            <xm:f>NOT(ISERROR(SEARCH("PDF",I8)))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</xm:sqref>
        </x14:conditionalFormatting>
        <x14:conditionalFormatting xmlns:xm="http://schemas.microsoft.com/office/excel/2006/main">
          <x14:cfRule type="containsText" priority="3" operator="containsText" text="ZIP" id="{80C669A8-F863-437C-A165-7E97CB1E7064}">
            <xm:f>NOT(ISERROR(SEARCH("ZIP",I10)))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I10</xm:sqref>
        </x14:conditionalFormatting>
        <x14:conditionalFormatting xmlns:xm="http://schemas.microsoft.com/office/excel/2006/main">
          <x14:cfRule type="containsText" priority="11" operator="containsText" text="PDF" id="{6F74E032-CE6B-49B5-9CA2-F0BE973C91C7}">
            <xm:f>NOT(ISERROR(SEARCH("PDF",I10)))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 disablePrompts="0" xWindow="1410" yWindow="926">
        <x14:dataValidation xr:uid="{06312465-5D9C-4D1C-B3E3-5632AAE7E2A3}" type="list" allowBlank="1" errorStyle="stop" imeMode="noControl" operator="between" prompt="Hier angeben ob die Unterlagen als PDF- oder ZIP-Datei hochgeladen werden." promptTitle="ZIP oder PDF" showDropDown="0" showErrorMessage="1" showInputMessage="1">
          <x14:formula1>
            <xm:f>Dateiformat</xm:f>
          </x14:formula1>
          <xm:sqref>I10 I8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Tabelle5">
    <outlinePr applyStyles="0" summaryBelow="1" summaryRight="1" showOutlineSymbols="1"/>
    <pageSetUpPr autoPageBreaks="1" fitToPage="0"/>
  </sheetPr>
  <sheetViews>
    <sheetView showGridLines="0" topLeftCell="A1" zoomScale="100" workbookViewId="0">
      <pane ySplit="5" topLeftCell="A6" activePane="bottomLeft" state="frozen"/>
      <selection activeCell="B98" activeCellId="0" sqref="B98"/>
    </sheetView>
  </sheetViews>
  <sheetFormatPr baseColWidth="10" defaultColWidth="11.46484375" defaultRowHeight="14.25" outlineLevelRow="1"/>
  <cols>
    <col customWidth="1" min="1" max="1" style="67" width="7"/>
    <col customWidth="1" min="2" max="2" style="77" width="73.19921875"/>
    <col customWidth="1" min="3" max="3" style="78" width="7.796875"/>
    <col customWidth="1" min="4" max="4" style="78" width="6.19921875"/>
    <col customWidth="1" min="5" max="5" style="78" width="4.19921875"/>
    <col customWidth="1" min="6" max="6" style="54" width="4.796875"/>
    <col customWidth="1" min="7" max="7" style="54" width="6.796875"/>
    <col customWidth="1" min="8" max="8" style="79" width="10.796875"/>
    <col customWidth="1" min="9" max="9" style="78" width="18.53125"/>
    <col customWidth="1" hidden="1" min="10" max="10" style="69" width="13.796875"/>
    <col customWidth="1" min="11" max="11" style="66" width="28.19921875"/>
    <col customWidth="1" min="12" max="12" style="66" width="14.796875"/>
    <col customWidth="1" min="13" max="13" style="66" width="11.46484375"/>
    <col customWidth="1" min="14" max="14" style="66" width="59"/>
    <col customWidth="1" min="15" max="15" style="66" width="11.46484375"/>
    <col min="16" max="16384" style="66" width="11.46484375"/>
  </cols>
  <sheetData>
    <row r="1" ht="6.5999999999999996" customHeight="1"/>
    <row r="2" ht="16.5">
      <c r="A2" s="80" t="s">
        <v>75</v>
      </c>
      <c r="D2" s="81"/>
      <c r="E2" s="66"/>
      <c r="F2" s="66"/>
      <c r="H2" s="82"/>
      <c r="I2" s="83"/>
      <c r="K2" s="82"/>
    </row>
    <row r="3">
      <c r="A3" s="67" t="s">
        <v>76</v>
      </c>
      <c r="D3" s="81"/>
      <c r="E3" s="66"/>
      <c r="F3" s="66"/>
      <c r="H3" s="82"/>
      <c r="I3" s="83"/>
      <c r="K3" s="82"/>
    </row>
    <row r="4" ht="13.9">
      <c r="A4" s="84"/>
      <c r="E4" s="66"/>
      <c r="F4" s="66"/>
    </row>
    <row r="5" s="85" customFormat="1" ht="67.5" customHeight="1">
      <c r="A5" s="47" t="s">
        <v>25</v>
      </c>
      <c r="B5" s="48" t="s">
        <v>26</v>
      </c>
      <c r="C5" s="49" t="s">
        <v>55</v>
      </c>
      <c r="D5" s="49" t="s">
        <v>56</v>
      </c>
      <c r="E5" s="49" t="s">
        <v>35</v>
      </c>
      <c r="F5" s="49" t="s">
        <v>36</v>
      </c>
      <c r="G5" s="49" t="s">
        <v>37</v>
      </c>
      <c r="H5" s="50" t="s">
        <v>38</v>
      </c>
      <c r="I5" s="51" t="s">
        <v>43</v>
      </c>
      <c r="J5" s="52" t="s">
        <v>57</v>
      </c>
      <c r="K5" s="53" t="s">
        <v>44</v>
      </c>
      <c r="L5" s="86"/>
      <c r="M5" s="86"/>
      <c r="N5" s="86"/>
      <c r="O5" s="86"/>
      <c r="P5" s="87"/>
      <c r="Q5" s="87"/>
    </row>
    <row r="6" ht="28.350000000000001" customHeight="1">
      <c r="A6" s="88" t="s">
        <v>77</v>
      </c>
      <c r="B6" s="89" t="s">
        <v>78</v>
      </c>
      <c r="C6" s="90"/>
      <c r="D6" s="90"/>
      <c r="E6" s="91"/>
      <c r="F6" s="92"/>
      <c r="G6" s="92"/>
      <c r="H6" s="93">
        <f>H7+H18+H28+H25</f>
        <v>11.627906976744185</v>
      </c>
      <c r="I6" s="94"/>
      <c r="J6" s="95"/>
      <c r="K6" s="96"/>
      <c r="L6" s="86"/>
      <c r="M6" s="86"/>
      <c r="N6" s="86"/>
      <c r="O6" s="86"/>
      <c r="P6" s="86"/>
      <c r="Q6" s="86"/>
    </row>
    <row r="7" s="54" customFormat="1" ht="13.9">
      <c r="A7" s="97" t="s">
        <v>79</v>
      </c>
      <c r="B7" s="98" t="s">
        <v>80</v>
      </c>
      <c r="C7" s="99"/>
      <c r="D7" s="99"/>
      <c r="E7" s="100"/>
      <c r="F7" s="101"/>
      <c r="G7" s="101"/>
      <c r="H7" s="102">
        <f>SUM(H8:H17)</f>
        <v>7.558139534883721</v>
      </c>
      <c r="I7" s="99"/>
      <c r="J7" s="99"/>
      <c r="K7" s="103"/>
      <c r="L7" s="104"/>
      <c r="M7" s="104"/>
      <c r="N7" s="104"/>
      <c r="O7" s="104"/>
      <c r="P7" s="104"/>
      <c r="Q7" s="104"/>
    </row>
    <row r="8" s="105" customFormat="1" ht="114.75" customHeight="1" outlineLevel="1">
      <c r="A8" s="106" t="s">
        <v>81</v>
      </c>
      <c r="B8" s="107" t="s">
        <v>82</v>
      </c>
      <c r="C8" s="108" t="s">
        <v>12</v>
      </c>
      <c r="D8" s="108" t="s">
        <v>18</v>
      </c>
      <c r="E8" s="108"/>
      <c r="F8" s="109"/>
      <c r="G8" s="109" t="str">
        <f t="shared" ref="G8:G17" si="1">IF(E8="","",E8*F8)</f>
        <v/>
      </c>
      <c r="H8" s="110" t="str">
        <f t="shared" ref="H8:H9" si="2">IF(E8="","",100/$G$96*G8)</f>
        <v/>
      </c>
      <c r="I8" s="111"/>
      <c r="J8" s="108"/>
      <c r="L8" s="109"/>
      <c r="M8" s="109"/>
      <c r="N8" s="112"/>
      <c r="O8" s="112"/>
      <c r="P8" s="109"/>
      <c r="Q8" s="109"/>
    </row>
    <row r="9" s="54" customFormat="1" outlineLevel="1">
      <c r="A9" s="67" t="s">
        <v>83</v>
      </c>
      <c r="B9" s="68" t="s">
        <v>84</v>
      </c>
      <c r="C9" s="69" t="s">
        <v>12</v>
      </c>
      <c r="D9" s="69" t="s">
        <v>18</v>
      </c>
      <c r="E9" s="69"/>
      <c r="G9" s="54" t="str">
        <f t="shared" si="1"/>
        <v/>
      </c>
      <c r="H9" s="70" t="str">
        <f t="shared" si="2"/>
        <v/>
      </c>
      <c r="I9" s="113"/>
      <c r="J9" s="71"/>
      <c r="L9" s="104"/>
      <c r="M9" s="114"/>
      <c r="N9" s="86"/>
      <c r="O9" s="86"/>
      <c r="P9" s="104"/>
      <c r="Q9" s="104"/>
    </row>
    <row r="10" s="115" customFormat="1" outlineLevel="1">
      <c r="A10" s="116" t="s">
        <v>85</v>
      </c>
      <c r="B10" s="117" t="s">
        <v>86</v>
      </c>
      <c r="C10" s="118" t="s">
        <v>7</v>
      </c>
      <c r="D10" s="118" t="s">
        <v>20</v>
      </c>
      <c r="E10" s="118"/>
      <c r="G10" s="115" t="str">
        <f t="shared" si="1"/>
        <v/>
      </c>
      <c r="H10" s="119" t="str">
        <f t="shared" ref="H10:H17" si="3">IF(E10="","",100/$G$96*G10)</f>
        <v/>
      </c>
      <c r="I10" s="113" t="s">
        <v>64</v>
      </c>
      <c r="J10" s="118"/>
      <c r="L10" s="120"/>
      <c r="M10" s="121"/>
      <c r="N10" s="122"/>
      <c r="O10" s="122"/>
      <c r="P10" s="120"/>
      <c r="Q10" s="120"/>
    </row>
    <row r="11" s="115" customFormat="1" ht="13.9" outlineLevel="1">
      <c r="A11" s="116" t="s">
        <v>87</v>
      </c>
      <c r="B11" s="117" t="s">
        <v>88</v>
      </c>
      <c r="C11" s="118" t="s">
        <v>7</v>
      </c>
      <c r="D11" s="118" t="s">
        <v>20</v>
      </c>
      <c r="E11" s="118"/>
      <c r="G11" s="115" t="str">
        <f t="shared" si="1"/>
        <v/>
      </c>
      <c r="H11" s="119" t="str">
        <f t="shared" si="3"/>
        <v/>
      </c>
      <c r="I11" s="113" t="s">
        <v>64</v>
      </c>
      <c r="J11" s="118"/>
      <c r="L11" s="120"/>
      <c r="M11" s="120"/>
      <c r="N11" s="122"/>
      <c r="O11" s="122"/>
      <c r="P11" s="120"/>
      <c r="Q11" s="120"/>
    </row>
    <row r="12" s="115" customFormat="1" outlineLevel="1">
      <c r="A12" s="116" t="s">
        <v>89</v>
      </c>
      <c r="B12" s="117" t="s">
        <v>90</v>
      </c>
      <c r="C12" s="118" t="s">
        <v>7</v>
      </c>
      <c r="D12" s="118" t="s">
        <v>20</v>
      </c>
      <c r="E12" s="118"/>
      <c r="G12" s="115" t="str">
        <f>IF(E12="","",E12*F12)</f>
        <v/>
      </c>
      <c r="H12" s="119" t="str">
        <f t="shared" si="3"/>
        <v/>
      </c>
      <c r="I12" s="113" t="s">
        <v>64</v>
      </c>
      <c r="J12" s="118"/>
      <c r="L12" s="120"/>
      <c r="M12" s="120"/>
      <c r="N12" s="120"/>
      <c r="O12" s="120"/>
      <c r="P12" s="120"/>
      <c r="Q12" s="120"/>
    </row>
    <row r="13" s="105" customFormat="1" ht="42.75" outlineLevel="1">
      <c r="A13" s="123" t="s">
        <v>91</v>
      </c>
      <c r="B13" s="124" t="s">
        <v>92</v>
      </c>
      <c r="C13" s="125" t="s">
        <v>10</v>
      </c>
      <c r="D13" s="125" t="s">
        <v>18</v>
      </c>
      <c r="E13" s="125">
        <v>5</v>
      </c>
      <c r="F13" s="105">
        <v>10</v>
      </c>
      <c r="G13" s="105">
        <f t="shared" si="1"/>
        <v>50</v>
      </c>
      <c r="H13" s="126">
        <f t="shared" si="3"/>
        <v>2.9069767441860463</v>
      </c>
      <c r="I13" s="113"/>
      <c r="J13" s="125">
        <f>IF(I13=512,0,IF(AND(I13&lt;1024,I13&gt;512),5*5,IF(I13&gt;=1024,10*5,0)))</f>
        <v>0</v>
      </c>
      <c r="K13" s="124" t="s">
        <v>93</v>
      </c>
      <c r="L13" s="109"/>
      <c r="M13" s="109"/>
      <c r="N13" s="109"/>
      <c r="O13" s="109"/>
      <c r="P13" s="109"/>
      <c r="Q13" s="109"/>
    </row>
    <row r="14" s="105" customFormat="1" ht="28.5" outlineLevel="1">
      <c r="A14" s="123" t="s">
        <v>94</v>
      </c>
      <c r="B14" s="124" t="s">
        <v>95</v>
      </c>
      <c r="C14" s="125" t="s">
        <v>10</v>
      </c>
      <c r="D14" s="125" t="s">
        <v>20</v>
      </c>
      <c r="E14" s="125">
        <v>1</v>
      </c>
      <c r="F14" s="105">
        <v>10</v>
      </c>
      <c r="G14" s="105">
        <f t="shared" si="1"/>
        <v>10</v>
      </c>
      <c r="H14" s="126">
        <f t="shared" si="3"/>
        <v>0.58139534883720934</v>
      </c>
      <c r="I14" s="113" t="s">
        <v>64</v>
      </c>
      <c r="J14" s="125">
        <f>IF(I14="ja",10,0)</f>
        <v>0</v>
      </c>
      <c r="K14" s="124" t="s">
        <v>65</v>
      </c>
      <c r="L14" s="109"/>
      <c r="M14" s="109"/>
      <c r="N14" s="109"/>
      <c r="O14" s="109"/>
      <c r="P14" s="109"/>
      <c r="Q14" s="109"/>
    </row>
    <row r="15" s="115" customFormat="1" ht="42.75" outlineLevel="1">
      <c r="A15" s="116" t="s">
        <v>96</v>
      </c>
      <c r="B15" s="117" t="s">
        <v>97</v>
      </c>
      <c r="C15" s="118" t="s">
        <v>7</v>
      </c>
      <c r="D15" s="118" t="s">
        <v>20</v>
      </c>
      <c r="E15" s="118"/>
      <c r="G15" s="115" t="str">
        <f t="shared" si="1"/>
        <v/>
      </c>
      <c r="H15" s="119" t="str">
        <f t="shared" si="3"/>
        <v/>
      </c>
      <c r="I15" s="113" t="s">
        <v>64</v>
      </c>
      <c r="J15" s="118"/>
      <c r="L15" s="120"/>
      <c r="M15" s="120"/>
      <c r="N15" s="120"/>
      <c r="O15" s="120"/>
      <c r="P15" s="120"/>
      <c r="Q15" s="120"/>
    </row>
    <row r="16" s="115" customFormat="1" ht="19.5" customHeight="1" outlineLevel="1">
      <c r="A16" s="116" t="s">
        <v>98</v>
      </c>
      <c r="B16" s="117" t="s">
        <v>99</v>
      </c>
      <c r="C16" s="118" t="s">
        <v>7</v>
      </c>
      <c r="D16" s="118" t="s">
        <v>20</v>
      </c>
      <c r="E16" s="118"/>
      <c r="G16" s="115" t="str">
        <f t="shared" si="1"/>
        <v/>
      </c>
      <c r="H16" s="119" t="str">
        <f t="shared" si="3"/>
        <v/>
      </c>
      <c r="I16" s="113" t="s">
        <v>64</v>
      </c>
      <c r="J16" s="118"/>
    </row>
    <row r="17" s="54" customFormat="1" ht="42.75" outlineLevel="1">
      <c r="A17" s="67" t="s">
        <v>100</v>
      </c>
      <c r="B17" s="68" t="s">
        <v>101</v>
      </c>
      <c r="C17" s="69" t="s">
        <v>10</v>
      </c>
      <c r="D17" s="69" t="s">
        <v>20</v>
      </c>
      <c r="E17" s="69">
        <v>7</v>
      </c>
      <c r="F17" s="54">
        <v>10</v>
      </c>
      <c r="G17" s="54">
        <f t="shared" si="1"/>
        <v>70</v>
      </c>
      <c r="H17" s="70">
        <f t="shared" si="3"/>
        <v>4.0697674418604652</v>
      </c>
      <c r="I17" s="113" t="s">
        <v>64</v>
      </c>
      <c r="J17" s="71">
        <f>IF(I17="ja",20,0)</f>
        <v>0</v>
      </c>
      <c r="K17" s="68" t="s">
        <v>65</v>
      </c>
    </row>
    <row r="18" s="54" customFormat="1" ht="13.9">
      <c r="A18" s="97" t="s">
        <v>102</v>
      </c>
      <c r="B18" s="98" t="s">
        <v>103</v>
      </c>
      <c r="C18" s="99"/>
      <c r="D18" s="99"/>
      <c r="E18" s="127"/>
      <c r="F18" s="101"/>
      <c r="G18" s="101"/>
      <c r="H18" s="102">
        <f>SUM(H19:H24)</f>
        <v>3.4883720930232558</v>
      </c>
      <c r="I18" s="99"/>
      <c r="J18" s="99"/>
      <c r="K18" s="103"/>
    </row>
    <row r="19" s="54" customFormat="1" outlineLevel="1">
      <c r="A19" s="67" t="s">
        <v>104</v>
      </c>
      <c r="B19" s="68" t="s">
        <v>105</v>
      </c>
      <c r="C19" s="69" t="s">
        <v>7</v>
      </c>
      <c r="D19" s="69" t="s">
        <v>20</v>
      </c>
      <c r="E19" s="69"/>
      <c r="G19" s="54" t="str">
        <f t="shared" ref="G19:G45" si="4">IF(E19="","",E19*F19)</f>
        <v/>
      </c>
      <c r="H19" s="70" t="str">
        <f t="shared" ref="H19:H27" si="5">IF(E19="","",100/$G$96*G19)</f>
        <v/>
      </c>
      <c r="I19" s="71" t="s">
        <v>64</v>
      </c>
      <c r="J19" s="71"/>
    </row>
    <row r="20" s="105" customFormat="1" ht="28.5" outlineLevel="1">
      <c r="A20" s="123" t="s">
        <v>106</v>
      </c>
      <c r="B20" s="124" t="s">
        <v>107</v>
      </c>
      <c r="C20" s="125" t="s">
        <v>10</v>
      </c>
      <c r="D20" s="125" t="s">
        <v>20</v>
      </c>
      <c r="E20" s="125">
        <v>3</v>
      </c>
      <c r="F20" s="105">
        <v>10</v>
      </c>
      <c r="G20" s="105">
        <f t="shared" si="4"/>
        <v>30</v>
      </c>
      <c r="H20" s="126">
        <f t="shared" si="5"/>
        <v>1.7441860465116279</v>
      </c>
      <c r="I20" s="128" t="s">
        <v>64</v>
      </c>
      <c r="J20" s="125">
        <f>IF(I20="ja",30,0)</f>
        <v>0</v>
      </c>
      <c r="K20" s="124" t="s">
        <v>65</v>
      </c>
    </row>
    <row r="21" s="54" customFormat="1" outlineLevel="1">
      <c r="A21" s="67" t="s">
        <v>108</v>
      </c>
      <c r="B21" s="68" t="s">
        <v>109</v>
      </c>
      <c r="C21" s="69" t="s">
        <v>7</v>
      </c>
      <c r="D21" s="69" t="s">
        <v>20</v>
      </c>
      <c r="E21" s="69"/>
      <c r="G21" s="54" t="str">
        <f t="shared" si="4"/>
        <v/>
      </c>
      <c r="H21" s="70" t="str">
        <f t="shared" si="5"/>
        <v/>
      </c>
      <c r="I21" s="71" t="s">
        <v>64</v>
      </c>
      <c r="J21" s="71"/>
    </row>
    <row r="22" s="105" customFormat="1" ht="28.5" outlineLevel="1">
      <c r="A22" s="123" t="s">
        <v>110</v>
      </c>
      <c r="B22" s="124" t="s">
        <v>111</v>
      </c>
      <c r="C22" s="125" t="s">
        <v>10</v>
      </c>
      <c r="D22" s="125" t="s">
        <v>20</v>
      </c>
      <c r="E22" s="125">
        <v>3</v>
      </c>
      <c r="F22" s="105">
        <v>10</v>
      </c>
      <c r="G22" s="105">
        <f t="shared" si="4"/>
        <v>30</v>
      </c>
      <c r="H22" s="126">
        <f t="shared" si="5"/>
        <v>1.7441860465116279</v>
      </c>
      <c r="I22" s="128" t="s">
        <v>64</v>
      </c>
      <c r="J22" s="125">
        <f>IF(I22="ja",30,0)</f>
        <v>0</v>
      </c>
      <c r="K22" s="124" t="s">
        <v>65</v>
      </c>
    </row>
    <row r="23" s="54" customFormat="1" outlineLevel="1">
      <c r="A23" s="67" t="s">
        <v>112</v>
      </c>
      <c r="B23" s="129" t="s">
        <v>113</v>
      </c>
      <c r="C23" s="69" t="s">
        <v>7</v>
      </c>
      <c r="D23" s="69" t="s">
        <v>20</v>
      </c>
      <c r="E23" s="69"/>
      <c r="G23" s="54" t="str">
        <f t="shared" si="4"/>
        <v/>
      </c>
      <c r="H23" s="70" t="str">
        <f t="shared" si="5"/>
        <v/>
      </c>
      <c r="I23" s="71" t="s">
        <v>64</v>
      </c>
      <c r="J23" s="71"/>
    </row>
    <row r="24" s="115" customFormat="1" outlineLevel="1">
      <c r="A24" s="116" t="s">
        <v>114</v>
      </c>
      <c r="B24" s="117" t="s">
        <v>115</v>
      </c>
      <c r="C24" s="118" t="s">
        <v>7</v>
      </c>
      <c r="D24" s="118" t="s">
        <v>20</v>
      </c>
      <c r="E24" s="118"/>
      <c r="G24" s="115" t="str">
        <f t="shared" si="4"/>
        <v/>
      </c>
      <c r="H24" s="119" t="str">
        <f t="shared" si="5"/>
        <v/>
      </c>
      <c r="I24" s="128" t="s">
        <v>64</v>
      </c>
      <c r="J24" s="118"/>
    </row>
    <row r="25" s="54" customFormat="1" ht="21.75" customHeight="1">
      <c r="A25" s="62" t="s">
        <v>116</v>
      </c>
      <c r="B25" s="63" t="s">
        <v>117</v>
      </c>
      <c r="C25" s="63"/>
      <c r="D25" s="63"/>
      <c r="E25" s="63"/>
      <c r="F25" s="63"/>
      <c r="G25" s="63"/>
      <c r="H25" s="64">
        <v>0</v>
      </c>
      <c r="I25" s="65"/>
      <c r="J25" s="63"/>
      <c r="K25" s="63"/>
    </row>
    <row r="26" s="54" customFormat="1" ht="71.25" outlineLevel="1">
      <c r="A26" s="67" t="s">
        <v>118</v>
      </c>
      <c r="B26" s="68" t="s">
        <v>119</v>
      </c>
      <c r="C26" s="69" t="s">
        <v>7</v>
      </c>
      <c r="D26" s="69" t="s">
        <v>20</v>
      </c>
      <c r="E26" s="69"/>
      <c r="G26" s="54" t="str">
        <f t="shared" si="4"/>
        <v/>
      </c>
      <c r="H26" s="70" t="str">
        <f t="shared" si="5"/>
        <v/>
      </c>
      <c r="I26" s="71" t="s">
        <v>64</v>
      </c>
      <c r="J26" s="71"/>
    </row>
    <row r="27" s="115" customFormat="1" ht="42.75" outlineLevel="1">
      <c r="A27" s="116" t="s">
        <v>120</v>
      </c>
      <c r="B27" s="117" t="s">
        <v>121</v>
      </c>
      <c r="C27" s="118" t="s">
        <v>7</v>
      </c>
      <c r="D27" s="118" t="s">
        <v>20</v>
      </c>
      <c r="E27" s="118"/>
      <c r="G27" s="115" t="str">
        <f t="shared" si="4"/>
        <v/>
      </c>
      <c r="H27" s="119" t="str">
        <f t="shared" si="5"/>
        <v/>
      </c>
      <c r="I27" s="128" t="s">
        <v>64</v>
      </c>
      <c r="J27" s="118"/>
    </row>
    <row r="28" s="54" customFormat="1" ht="13.9">
      <c r="A28" s="62" t="s">
        <v>122</v>
      </c>
      <c r="B28" s="63" t="s">
        <v>123</v>
      </c>
      <c r="C28" s="63"/>
      <c r="D28" s="63"/>
      <c r="E28" s="63"/>
      <c r="F28" s="63"/>
      <c r="G28" s="63"/>
      <c r="H28" s="102">
        <f>SUM(H29:H29)</f>
        <v>0.58139534883720934</v>
      </c>
      <c r="I28" s="65"/>
      <c r="J28" s="63"/>
      <c r="K28" s="63"/>
    </row>
    <row r="29" s="130" customFormat="1" ht="28.5" outlineLevel="1">
      <c r="A29" s="123" t="s">
        <v>124</v>
      </c>
      <c r="B29" s="107" t="s">
        <v>125</v>
      </c>
      <c r="C29" s="125" t="s">
        <v>10</v>
      </c>
      <c r="D29" s="125" t="s">
        <v>20</v>
      </c>
      <c r="E29" s="125">
        <v>1</v>
      </c>
      <c r="F29" s="105">
        <v>10</v>
      </c>
      <c r="G29" s="105">
        <f t="shared" si="4"/>
        <v>10</v>
      </c>
      <c r="H29" s="126">
        <f>IF(E29="","",100/$G$96*G29)</f>
        <v>0.58139534883720934</v>
      </c>
      <c r="I29" s="128" t="s">
        <v>64</v>
      </c>
      <c r="J29" s="125">
        <f>IF(I29="ja",10,0)</f>
        <v>0</v>
      </c>
      <c r="K29" s="124" t="s">
        <v>65</v>
      </c>
      <c r="L29" s="105"/>
      <c r="M29" s="105"/>
      <c r="N29" s="105"/>
    </row>
    <row r="30" ht="28.350000000000001" customHeight="1">
      <c r="A30" s="131" t="s">
        <v>126</v>
      </c>
      <c r="B30" s="132" t="s">
        <v>127</v>
      </c>
      <c r="C30" s="133"/>
      <c r="D30" s="133"/>
      <c r="E30" s="58"/>
      <c r="F30" s="134"/>
      <c r="G30" s="134"/>
      <c r="H30" s="60">
        <f>H31+H41+H49</f>
        <v>30.232558139534881</v>
      </c>
      <c r="I30" s="135"/>
      <c r="J30" s="136"/>
      <c r="K30" s="59"/>
      <c r="L30" s="67"/>
      <c r="M30" s="54"/>
      <c r="N30" s="54"/>
    </row>
    <row r="31" ht="13.9">
      <c r="A31" s="62" t="s">
        <v>128</v>
      </c>
      <c r="B31" s="63" t="s">
        <v>129</v>
      </c>
      <c r="C31" s="63"/>
      <c r="D31" s="63"/>
      <c r="E31" s="63"/>
      <c r="F31" s="63"/>
      <c r="G31" s="63"/>
      <c r="H31" s="64">
        <f>SUM(H32:H40)</f>
        <v>23.837209302325579</v>
      </c>
      <c r="I31" s="65"/>
      <c r="J31" s="63"/>
      <c r="K31" s="63"/>
      <c r="L31" s="54"/>
      <c r="M31" s="54"/>
      <c r="N31" s="54"/>
    </row>
    <row r="32" s="115" customFormat="1" ht="13.9" outlineLevel="1">
      <c r="A32" s="116" t="s">
        <v>130</v>
      </c>
      <c r="B32" s="117" t="s">
        <v>131</v>
      </c>
      <c r="C32" s="118" t="s">
        <v>7</v>
      </c>
      <c r="D32" s="118" t="s">
        <v>20</v>
      </c>
      <c r="E32" s="118"/>
      <c r="G32" s="115" t="str">
        <f t="shared" si="4"/>
        <v/>
      </c>
      <c r="H32" s="119" t="str">
        <f t="shared" ref="H32:H40" si="6">IF(E32="","",100/$G$96*G32)</f>
        <v/>
      </c>
      <c r="I32" s="128" t="s">
        <v>64</v>
      </c>
      <c r="J32" s="118"/>
      <c r="M32" s="116"/>
    </row>
    <row r="33" s="115" customFormat="1" outlineLevel="1">
      <c r="A33" s="116" t="s">
        <v>132</v>
      </c>
      <c r="B33" s="117" t="s">
        <v>133</v>
      </c>
      <c r="C33" s="118" t="s">
        <v>7</v>
      </c>
      <c r="D33" s="118" t="s">
        <v>20</v>
      </c>
      <c r="E33" s="118"/>
      <c r="G33" s="115" t="str">
        <f t="shared" si="4"/>
        <v/>
      </c>
      <c r="H33" s="119" t="str">
        <f t="shared" si="6"/>
        <v/>
      </c>
      <c r="I33" s="128" t="s">
        <v>64</v>
      </c>
      <c r="J33" s="118"/>
    </row>
    <row r="34" s="115" customFormat="1" outlineLevel="1">
      <c r="A34" s="116" t="s">
        <v>134</v>
      </c>
      <c r="B34" s="117" t="s">
        <v>135</v>
      </c>
      <c r="C34" s="118" t="s">
        <v>7</v>
      </c>
      <c r="D34" s="118" t="s">
        <v>20</v>
      </c>
      <c r="E34" s="118"/>
      <c r="G34" s="115" t="str">
        <f t="shared" si="4"/>
        <v/>
      </c>
      <c r="H34" s="119" t="str">
        <f t="shared" si="6"/>
        <v/>
      </c>
      <c r="I34" s="128" t="s">
        <v>64</v>
      </c>
      <c r="J34" s="118"/>
    </row>
    <row r="35" s="105" customFormat="1" ht="40.5" customHeight="1" outlineLevel="1">
      <c r="A35" s="123" t="s">
        <v>136</v>
      </c>
      <c r="B35" s="124" t="s">
        <v>137</v>
      </c>
      <c r="C35" s="125" t="s">
        <v>10</v>
      </c>
      <c r="D35" s="125" t="s">
        <v>20</v>
      </c>
      <c r="E35" s="125">
        <v>20</v>
      </c>
      <c r="F35" s="105">
        <v>10</v>
      </c>
      <c r="G35" s="105">
        <f t="shared" si="4"/>
        <v>200</v>
      </c>
      <c r="H35" s="126">
        <f t="shared" si="6"/>
        <v>11.627906976744185</v>
      </c>
      <c r="I35" s="128" t="s">
        <v>64</v>
      </c>
      <c r="J35" s="125">
        <f>IF(I35="ja",200,0)</f>
        <v>0</v>
      </c>
      <c r="K35" s="124" t="s">
        <v>65</v>
      </c>
    </row>
    <row r="36" s="115" customFormat="1" outlineLevel="1">
      <c r="A36" s="116" t="s">
        <v>138</v>
      </c>
      <c r="B36" s="117" t="s">
        <v>139</v>
      </c>
      <c r="C36" s="118" t="s">
        <v>7</v>
      </c>
      <c r="D36" s="118" t="s">
        <v>20</v>
      </c>
      <c r="E36" s="118"/>
      <c r="G36" s="115" t="str">
        <f t="shared" si="4"/>
        <v/>
      </c>
      <c r="H36" s="119" t="str">
        <f t="shared" si="6"/>
        <v/>
      </c>
      <c r="I36" s="128" t="s">
        <v>64</v>
      </c>
      <c r="J36" s="118"/>
      <c r="K36" s="117"/>
    </row>
    <row r="37" s="105" customFormat="1" ht="57" outlineLevel="1">
      <c r="A37" s="123" t="s">
        <v>140</v>
      </c>
      <c r="B37" s="124" t="s">
        <v>141</v>
      </c>
      <c r="C37" s="125" t="s">
        <v>10</v>
      </c>
      <c r="D37" s="125" t="s">
        <v>18</v>
      </c>
      <c r="E37" s="125">
        <v>10</v>
      </c>
      <c r="F37" s="105">
        <v>10</v>
      </c>
      <c r="G37" s="105">
        <f t="shared" si="4"/>
        <v>100</v>
      </c>
      <c r="H37" s="126">
        <f t="shared" si="6"/>
        <v>5.8139534883720927</v>
      </c>
      <c r="I37" s="128"/>
      <c r="J37" s="125">
        <f>IF(I37&gt;=160,100,IF(AND(I37&lt;160,I37&gt;=120),50,IF(AND(I37&lt;120,I37&gt;=100),20,0)))</f>
        <v>0</v>
      </c>
      <c r="K37" s="124" t="s">
        <v>142</v>
      </c>
    </row>
    <row r="38" s="105" customFormat="1" ht="42.75" outlineLevel="1">
      <c r="A38" s="123" t="s">
        <v>143</v>
      </c>
      <c r="B38" s="124" t="s">
        <v>144</v>
      </c>
      <c r="C38" s="125" t="s">
        <v>10</v>
      </c>
      <c r="D38" s="125" t="s">
        <v>18</v>
      </c>
      <c r="E38" s="125">
        <v>1</v>
      </c>
      <c r="F38" s="105">
        <v>10</v>
      </c>
      <c r="G38" s="105">
        <f t="shared" si="4"/>
        <v>10</v>
      </c>
      <c r="H38" s="126">
        <f t="shared" si="6"/>
        <v>0.58139534883720934</v>
      </c>
      <c r="I38" s="128"/>
      <c r="J38" s="125">
        <f>IF(I38=100,10,IF(I38&gt;=60,5,0))</f>
        <v>0</v>
      </c>
      <c r="K38" s="137" t="s">
        <v>145</v>
      </c>
    </row>
    <row r="39" s="54" customFormat="1" ht="28.5" outlineLevel="1">
      <c r="A39" s="67" t="s">
        <v>146</v>
      </c>
      <c r="B39" s="68" t="s">
        <v>147</v>
      </c>
      <c r="C39" s="69" t="s">
        <v>10</v>
      </c>
      <c r="D39" s="69" t="s">
        <v>20</v>
      </c>
      <c r="E39" s="69">
        <v>10</v>
      </c>
      <c r="F39" s="54">
        <v>10</v>
      </c>
      <c r="G39" s="54">
        <f t="shared" si="4"/>
        <v>100</v>
      </c>
      <c r="H39" s="126">
        <f t="shared" si="6"/>
        <v>5.8139534883720927</v>
      </c>
      <c r="I39" s="71" t="s">
        <v>64</v>
      </c>
      <c r="J39" s="71">
        <f>IF(I39="ja",100,0)</f>
        <v>0</v>
      </c>
      <c r="K39" s="68" t="s">
        <v>65</v>
      </c>
    </row>
    <row r="40" s="115" customFormat="1" ht="34.5" customHeight="1" outlineLevel="1">
      <c r="A40" s="116" t="s">
        <v>148</v>
      </c>
      <c r="B40" s="117" t="s">
        <v>149</v>
      </c>
      <c r="C40" s="118" t="s">
        <v>7</v>
      </c>
      <c r="D40" s="118" t="s">
        <v>20</v>
      </c>
      <c r="E40" s="118"/>
      <c r="G40" s="115" t="str">
        <f t="shared" si="4"/>
        <v/>
      </c>
      <c r="H40" s="119" t="str">
        <f t="shared" si="6"/>
        <v/>
      </c>
      <c r="I40" s="128" t="s">
        <v>64</v>
      </c>
      <c r="J40" s="118"/>
    </row>
    <row r="41" s="54" customFormat="1" ht="13.9">
      <c r="A41" s="62" t="s">
        <v>150</v>
      </c>
      <c r="B41" s="63" t="s">
        <v>151</v>
      </c>
      <c r="C41" s="63"/>
      <c r="D41" s="63"/>
      <c r="E41" s="63"/>
      <c r="F41" s="63"/>
      <c r="G41" s="63"/>
      <c r="H41" s="64">
        <f>SUM(H42:H48)</f>
        <v>5.8139534883720927</v>
      </c>
      <c r="I41" s="65"/>
      <c r="J41" s="63"/>
      <c r="K41" s="63"/>
    </row>
    <row r="42" s="115" customFormat="1" ht="28.5" outlineLevel="1">
      <c r="A42" s="116" t="s">
        <v>152</v>
      </c>
      <c r="B42" s="117" t="s">
        <v>153</v>
      </c>
      <c r="C42" s="118" t="s">
        <v>7</v>
      </c>
      <c r="D42" s="118" t="s">
        <v>20</v>
      </c>
      <c r="E42" s="118"/>
      <c r="G42" s="115" t="str">
        <f t="shared" si="4"/>
        <v/>
      </c>
      <c r="H42" s="119" t="str">
        <f t="shared" ref="H42:H45" si="7">IF(E42="","",100/$G$96*G42)</f>
        <v/>
      </c>
      <c r="I42" s="128" t="s">
        <v>64</v>
      </c>
      <c r="J42" s="118"/>
    </row>
    <row r="43" s="138" customFormat="1" ht="28.5" outlineLevel="1">
      <c r="A43" s="116" t="s">
        <v>154</v>
      </c>
      <c r="B43" s="117" t="s">
        <v>155</v>
      </c>
      <c r="C43" s="118" t="s">
        <v>7</v>
      </c>
      <c r="D43" s="118" t="s">
        <v>20</v>
      </c>
      <c r="E43" s="118"/>
      <c r="F43" s="115"/>
      <c r="G43" s="115" t="str">
        <f t="shared" si="4"/>
        <v/>
      </c>
      <c r="H43" s="119" t="str">
        <f t="shared" si="7"/>
        <v/>
      </c>
      <c r="I43" s="128" t="s">
        <v>64</v>
      </c>
      <c r="J43" s="118"/>
      <c r="K43" s="117"/>
    </row>
    <row r="44" s="130" customFormat="1" ht="57" outlineLevel="1">
      <c r="A44" s="123" t="s">
        <v>156</v>
      </c>
      <c r="B44" s="124" t="s">
        <v>157</v>
      </c>
      <c r="C44" s="125" t="s">
        <v>10</v>
      </c>
      <c r="D44" s="125" t="s">
        <v>18</v>
      </c>
      <c r="E44" s="125">
        <v>5</v>
      </c>
      <c r="F44" s="105">
        <v>10</v>
      </c>
      <c r="G44" s="105">
        <f t="shared" si="4"/>
        <v>50</v>
      </c>
      <c r="H44" s="126">
        <f t="shared" si="7"/>
        <v>2.9069767441860463</v>
      </c>
      <c r="I44" s="128"/>
      <c r="J44" s="125">
        <f>IF(I44&gt;=300,50,IF(I44&gt;=250,25,IF(I44&gt;=200,10,0)))</f>
        <v>0</v>
      </c>
      <c r="K44" s="137" t="s">
        <v>158</v>
      </c>
    </row>
    <row r="45" s="105" customFormat="1" ht="28.5" outlineLevel="1">
      <c r="A45" s="123" t="s">
        <v>159</v>
      </c>
      <c r="B45" s="124" t="s">
        <v>160</v>
      </c>
      <c r="C45" s="125" t="s">
        <v>10</v>
      </c>
      <c r="D45" s="125" t="s">
        <v>20</v>
      </c>
      <c r="E45" s="125">
        <v>5</v>
      </c>
      <c r="F45" s="105">
        <v>10</v>
      </c>
      <c r="G45" s="105">
        <f t="shared" si="4"/>
        <v>50</v>
      </c>
      <c r="H45" s="126">
        <f t="shared" si="7"/>
        <v>2.9069767441860463</v>
      </c>
      <c r="I45" s="128" t="s">
        <v>64</v>
      </c>
      <c r="J45" s="125">
        <f>IF(I45="ja",50,0)</f>
        <v>0</v>
      </c>
      <c r="K45" s="124" t="s">
        <v>65</v>
      </c>
    </row>
    <row r="46" s="105" customFormat="1" outlineLevel="1">
      <c r="A46" s="123" t="s">
        <v>161</v>
      </c>
      <c r="B46" s="124" t="s">
        <v>162</v>
      </c>
      <c r="C46" s="125" t="s">
        <v>12</v>
      </c>
      <c r="D46" s="125" t="s">
        <v>18</v>
      </c>
      <c r="E46" s="125"/>
      <c r="G46" s="105" t="str">
        <f>IF(E47="","",E47*F47)</f>
        <v/>
      </c>
      <c r="H46" s="126" t="str">
        <f>IF(E47="","",100/$G$96*G47)</f>
        <v/>
      </c>
      <c r="I46" s="128"/>
      <c r="J46" s="125"/>
      <c r="K46" s="124"/>
    </row>
    <row r="47" s="115" customFormat="1" ht="28.5" outlineLevel="1">
      <c r="A47" s="116" t="s">
        <v>163</v>
      </c>
      <c r="B47" s="117" t="s">
        <v>164</v>
      </c>
      <c r="C47" s="118" t="s">
        <v>7</v>
      </c>
      <c r="D47" s="118" t="s">
        <v>20</v>
      </c>
      <c r="E47" s="118"/>
      <c r="G47" s="115" t="str">
        <f t="shared" ref="G47:G66" si="8">IF(E47="","",E47*F47)</f>
        <v/>
      </c>
      <c r="H47" s="119" t="str">
        <f t="shared" ref="H47:H48" si="9">IF(E47="","",100/$G$96*G47)</f>
        <v/>
      </c>
      <c r="I47" s="128" t="s">
        <v>64</v>
      </c>
      <c r="J47" s="118"/>
      <c r="M47" s="116"/>
    </row>
    <row r="48" s="105" customFormat="1" outlineLevel="1">
      <c r="A48" s="123" t="s">
        <v>165</v>
      </c>
      <c r="B48" s="124" t="s">
        <v>166</v>
      </c>
      <c r="C48" s="125" t="s">
        <v>12</v>
      </c>
      <c r="D48" s="125" t="s">
        <v>18</v>
      </c>
      <c r="E48" s="125"/>
      <c r="G48" s="105" t="str">
        <f t="shared" si="8"/>
        <v/>
      </c>
      <c r="H48" s="126" t="str">
        <f t="shared" si="9"/>
        <v/>
      </c>
      <c r="I48" s="128"/>
      <c r="J48" s="125"/>
      <c r="M48" s="123"/>
    </row>
    <row r="49" ht="13.9">
      <c r="A49" s="62" t="s">
        <v>167</v>
      </c>
      <c r="B49" s="63" t="s">
        <v>168</v>
      </c>
      <c r="C49" s="63"/>
      <c r="D49" s="63"/>
      <c r="E49" s="63"/>
      <c r="F49" s="63"/>
      <c r="G49" s="63"/>
      <c r="H49" s="64">
        <f>SUM(H50:H51)</f>
        <v>0.58139534883720934</v>
      </c>
      <c r="I49" s="65"/>
      <c r="J49" s="63"/>
      <c r="K49" s="63"/>
    </row>
    <row r="50" ht="13.9" outlineLevel="1">
      <c r="A50" s="139" t="s">
        <v>169</v>
      </c>
      <c r="B50" s="140" t="s">
        <v>170</v>
      </c>
      <c r="C50" s="141" t="s">
        <v>7</v>
      </c>
      <c r="D50" s="141" t="s">
        <v>20</v>
      </c>
      <c r="E50" s="141"/>
      <c r="F50" s="142"/>
      <c r="G50" s="142" t="str">
        <f t="shared" si="8"/>
        <v/>
      </c>
      <c r="H50" s="143" t="str">
        <f t="shared" ref="H50:H51" si="10">IF(E50="","",100/$G$96*G50)</f>
        <v/>
      </c>
      <c r="I50" s="71" t="s">
        <v>64</v>
      </c>
      <c r="J50" s="71"/>
      <c r="K50" s="144"/>
    </row>
    <row r="51" s="105" customFormat="1" ht="42.75" outlineLevel="1">
      <c r="A51" s="123" t="s">
        <v>171</v>
      </c>
      <c r="B51" s="145" t="s">
        <v>172</v>
      </c>
      <c r="C51" s="125" t="s">
        <v>10</v>
      </c>
      <c r="D51" s="125" t="s">
        <v>18</v>
      </c>
      <c r="E51" s="125">
        <v>1</v>
      </c>
      <c r="F51" s="105">
        <v>10</v>
      </c>
      <c r="G51" s="105">
        <f t="shared" si="8"/>
        <v>10</v>
      </c>
      <c r="H51" s="126">
        <f t="shared" si="10"/>
        <v>0.58139534883720934</v>
      </c>
      <c r="I51" s="128"/>
      <c r="J51" s="125">
        <f>IF(I51&gt;=500,10,IF(I51&gt;250,5,0))</f>
        <v>0</v>
      </c>
      <c r="K51" s="137" t="s">
        <v>173</v>
      </c>
    </row>
    <row r="52" s="54" customFormat="1" ht="28.350000000000001" customHeight="1">
      <c r="A52" s="131" t="s">
        <v>174</v>
      </c>
      <c r="B52" s="132" t="s">
        <v>175</v>
      </c>
      <c r="C52" s="133"/>
      <c r="D52" s="133"/>
      <c r="E52" s="58"/>
      <c r="F52" s="134"/>
      <c r="G52" s="134"/>
      <c r="H52" s="60">
        <f>H53+H57</f>
        <v>0</v>
      </c>
      <c r="I52" s="135"/>
      <c r="J52" s="136"/>
      <c r="K52" s="59"/>
    </row>
    <row r="53" s="54" customFormat="1" ht="13.9">
      <c r="A53" s="62" t="s">
        <v>176</v>
      </c>
      <c r="B53" s="63" t="s">
        <v>177</v>
      </c>
      <c r="C53" s="63"/>
      <c r="D53" s="63"/>
      <c r="E53" s="63"/>
      <c r="F53" s="63"/>
      <c r="G53" s="63"/>
      <c r="H53" s="64">
        <v>0</v>
      </c>
      <c r="I53" s="65"/>
      <c r="J53" s="63"/>
      <c r="K53" s="63"/>
    </row>
    <row r="54" s="115" customFormat="1" ht="28.5" outlineLevel="1">
      <c r="A54" s="116" t="s">
        <v>178</v>
      </c>
      <c r="B54" s="146" t="s">
        <v>179</v>
      </c>
      <c r="C54" s="118" t="s">
        <v>7</v>
      </c>
      <c r="D54" s="118" t="s">
        <v>20</v>
      </c>
      <c r="E54" s="118"/>
      <c r="G54" s="115" t="str">
        <f t="shared" si="8"/>
        <v/>
      </c>
      <c r="H54" s="119" t="str">
        <f t="shared" ref="H54:H56" si="11">IF(E54="","",100/$G$96*G54)</f>
        <v/>
      </c>
      <c r="I54" s="128" t="s">
        <v>64</v>
      </c>
      <c r="J54" s="118"/>
    </row>
    <row r="55" s="105" customFormat="1" ht="57" outlineLevel="1">
      <c r="A55" s="123" t="s">
        <v>180</v>
      </c>
      <c r="B55" s="107" t="s">
        <v>181</v>
      </c>
      <c r="C55" s="125" t="s">
        <v>12</v>
      </c>
      <c r="D55" s="125" t="s">
        <v>20</v>
      </c>
      <c r="E55" s="125"/>
      <c r="G55" s="105" t="str">
        <f t="shared" si="8"/>
        <v/>
      </c>
      <c r="H55" s="126" t="str">
        <f t="shared" si="11"/>
        <v/>
      </c>
      <c r="I55" s="128" t="s">
        <v>64</v>
      </c>
      <c r="J55" s="125"/>
      <c r="K55" s="124" t="s">
        <v>182</v>
      </c>
    </row>
    <row r="56" s="105" customFormat="1" ht="42.75" outlineLevel="1">
      <c r="A56" s="123" t="s">
        <v>183</v>
      </c>
      <c r="B56" s="107" t="s">
        <v>184</v>
      </c>
      <c r="C56" s="125" t="s">
        <v>12</v>
      </c>
      <c r="D56" s="125" t="s">
        <v>20</v>
      </c>
      <c r="E56" s="125"/>
      <c r="G56" s="105" t="str">
        <f t="shared" si="8"/>
        <v/>
      </c>
      <c r="H56" s="126" t="str">
        <f t="shared" si="11"/>
        <v/>
      </c>
      <c r="I56" s="128" t="s">
        <v>64</v>
      </c>
      <c r="J56" s="125"/>
      <c r="K56" s="124" t="s">
        <v>185</v>
      </c>
    </row>
    <row r="57" s="54" customFormat="1" ht="13.9">
      <c r="A57" s="62" t="s">
        <v>186</v>
      </c>
      <c r="B57" s="63" t="s">
        <v>187</v>
      </c>
      <c r="C57" s="63"/>
      <c r="D57" s="63"/>
      <c r="E57" s="63"/>
      <c r="F57" s="63"/>
      <c r="G57" s="63"/>
      <c r="H57" s="64">
        <f>SUM(H58:H59)</f>
        <v>0</v>
      </c>
      <c r="I57" s="65"/>
      <c r="J57" s="63"/>
      <c r="K57" s="63"/>
    </row>
    <row r="58" s="115" customFormat="1" outlineLevel="1">
      <c r="A58" s="116" t="s">
        <v>188</v>
      </c>
      <c r="B58" s="117" t="s">
        <v>189</v>
      </c>
      <c r="C58" s="118" t="s">
        <v>7</v>
      </c>
      <c r="D58" s="118" t="s">
        <v>20</v>
      </c>
      <c r="E58" s="118"/>
      <c r="G58" s="115" t="str">
        <f t="shared" si="8"/>
        <v/>
      </c>
      <c r="H58" s="119" t="str">
        <f>IF(E58="","",100/$G$96*G58)</f>
        <v/>
      </c>
      <c r="I58" s="128" t="s">
        <v>64</v>
      </c>
      <c r="J58" s="118"/>
    </row>
    <row r="59" s="115" customFormat="1" ht="28.5" outlineLevel="1">
      <c r="A59" s="116" t="s">
        <v>190</v>
      </c>
      <c r="B59" s="117" t="s">
        <v>191</v>
      </c>
      <c r="C59" s="118" t="s">
        <v>7</v>
      </c>
      <c r="D59" s="118" t="s">
        <v>20</v>
      </c>
      <c r="E59" s="118"/>
      <c r="F59" s="115"/>
      <c r="G59" s="115"/>
      <c r="H59" s="119"/>
      <c r="I59" s="128" t="s">
        <v>64</v>
      </c>
      <c r="J59" s="118">
        <f>IF(I59="ja",300,0)</f>
        <v>0</v>
      </c>
      <c r="K59" s="117"/>
    </row>
    <row r="60" s="54" customFormat="1" ht="28.350000000000001" customHeight="1">
      <c r="A60" s="55" t="s">
        <v>192</v>
      </c>
      <c r="B60" s="56" t="s">
        <v>59</v>
      </c>
      <c r="C60" s="57"/>
      <c r="D60" s="57"/>
      <c r="E60" s="58"/>
      <c r="F60" s="59"/>
      <c r="G60" s="59"/>
      <c r="H60" s="60">
        <f>H61+H65</f>
        <v>17.441860465116278</v>
      </c>
      <c r="I60" s="57"/>
      <c r="J60" s="57"/>
      <c r="K60" s="61"/>
    </row>
    <row r="61" s="54" customFormat="1" ht="13.9">
      <c r="A61" s="62" t="s">
        <v>193</v>
      </c>
      <c r="B61" s="63" t="s">
        <v>61</v>
      </c>
      <c r="C61" s="63"/>
      <c r="D61" s="63"/>
      <c r="E61" s="63"/>
      <c r="F61" s="63"/>
      <c r="G61" s="63"/>
      <c r="H61" s="64">
        <f>SUM(H62:H64)</f>
        <v>5.8139534883720927</v>
      </c>
      <c r="I61" s="65"/>
      <c r="J61" s="63"/>
      <c r="K61" s="63"/>
    </row>
    <row r="62" s="138" customFormat="1" ht="99.75" outlineLevel="1">
      <c r="A62" s="116" t="s">
        <v>194</v>
      </c>
      <c r="B62" s="117" t="s">
        <v>195</v>
      </c>
      <c r="C62" s="118" t="s">
        <v>7</v>
      </c>
      <c r="D62" s="118" t="s">
        <v>20</v>
      </c>
      <c r="E62" s="118"/>
      <c r="F62" s="115"/>
      <c r="G62" s="115" t="str">
        <f t="shared" si="8"/>
        <v/>
      </c>
      <c r="H62" s="119" t="str">
        <f t="shared" ref="H62:H64" si="12">IF(E62="","",100/$G$96*G62)</f>
        <v/>
      </c>
      <c r="I62" s="128" t="s">
        <v>64</v>
      </c>
      <c r="J62" s="118"/>
      <c r="K62" s="115"/>
    </row>
    <row r="63" s="138" customFormat="1" ht="85.5" outlineLevel="1">
      <c r="A63" s="116" t="s">
        <v>196</v>
      </c>
      <c r="B63" s="117" t="s">
        <v>197</v>
      </c>
      <c r="C63" s="118" t="s">
        <v>7</v>
      </c>
      <c r="D63" s="118" t="s">
        <v>20</v>
      </c>
      <c r="E63" s="118"/>
      <c r="F63" s="115"/>
      <c r="G63" s="115" t="str">
        <f t="shared" si="8"/>
        <v/>
      </c>
      <c r="H63" s="119" t="str">
        <f t="shared" si="12"/>
        <v/>
      </c>
      <c r="I63" s="128" t="s">
        <v>64</v>
      </c>
      <c r="J63" s="118"/>
      <c r="K63" s="115"/>
    </row>
    <row r="64" s="130" customFormat="1" ht="71.25" outlineLevel="1">
      <c r="A64" s="123" t="s">
        <v>198</v>
      </c>
      <c r="B64" s="124" t="s">
        <v>199</v>
      </c>
      <c r="C64" s="125" t="s">
        <v>10</v>
      </c>
      <c r="D64" s="125" t="s">
        <v>20</v>
      </c>
      <c r="E64" s="125">
        <v>10</v>
      </c>
      <c r="F64" s="105">
        <v>10</v>
      </c>
      <c r="G64" s="105">
        <f t="shared" si="8"/>
        <v>100</v>
      </c>
      <c r="H64" s="126">
        <f t="shared" si="12"/>
        <v>5.8139534883720927</v>
      </c>
      <c r="I64" s="128" t="s">
        <v>64</v>
      </c>
      <c r="J64" s="125">
        <f>IF(I64="ja",100,0)</f>
        <v>0</v>
      </c>
      <c r="K64" s="124" t="s">
        <v>65</v>
      </c>
    </row>
    <row r="65" ht="14.25">
      <c r="A65" s="62" t="s">
        <v>200</v>
      </c>
      <c r="B65" s="63" t="s">
        <v>201</v>
      </c>
      <c r="C65" s="63"/>
      <c r="D65" s="63"/>
      <c r="E65" s="63"/>
      <c r="F65" s="63"/>
      <c r="G65" s="63"/>
      <c r="H65" s="147">
        <f>SUM(H66:H67)</f>
        <v>11.627906976744185</v>
      </c>
      <c r="I65" s="65"/>
      <c r="J65" s="63"/>
      <c r="K65" s="63"/>
    </row>
    <row r="66" s="130" customFormat="1" ht="54" outlineLevel="1">
      <c r="A66" s="123" t="s">
        <v>202</v>
      </c>
      <c r="B66" s="107" t="s">
        <v>203</v>
      </c>
      <c r="C66" s="125" t="s">
        <v>10</v>
      </c>
      <c r="D66" s="108" t="s">
        <v>20</v>
      </c>
      <c r="E66" s="108">
        <v>10</v>
      </c>
      <c r="F66" s="109">
        <v>10</v>
      </c>
      <c r="G66" s="109">
        <f t="shared" si="8"/>
        <v>100</v>
      </c>
      <c r="H66" s="126">
        <f t="shared" ref="H66:H67" si="13">IF(E66="","",100/$G$96*G66)</f>
        <v>5.8139534883720927</v>
      </c>
      <c r="I66" s="128" t="s">
        <v>64</v>
      </c>
      <c r="J66" s="125"/>
      <c r="K66" s="105"/>
    </row>
    <row r="67" s="130" customFormat="1" ht="27" outlineLevel="1">
      <c r="A67" s="123" t="s">
        <v>204</v>
      </c>
      <c r="B67" s="124" t="s">
        <v>205</v>
      </c>
      <c r="C67" s="125" t="s">
        <v>10</v>
      </c>
      <c r="D67" s="125" t="s">
        <v>20</v>
      </c>
      <c r="E67" s="125">
        <v>10</v>
      </c>
      <c r="F67" s="105">
        <v>10</v>
      </c>
      <c r="G67" s="105">
        <v>100</v>
      </c>
      <c r="H67" s="126">
        <f t="shared" si="13"/>
        <v>5.8139534883720927</v>
      </c>
      <c r="I67" s="128" t="s">
        <v>64</v>
      </c>
      <c r="J67" s="125">
        <f>IF(I67="ja",100,0)</f>
        <v>0</v>
      </c>
      <c r="K67" s="124" t="s">
        <v>65</v>
      </c>
    </row>
    <row r="68" ht="13.9">
      <c r="A68" s="148" t="s">
        <v>206</v>
      </c>
      <c r="B68" s="149" t="s">
        <v>207</v>
      </c>
      <c r="C68" s="150"/>
      <c r="D68" s="150"/>
      <c r="E68" s="150"/>
      <c r="F68" s="151"/>
      <c r="G68" s="151"/>
      <c r="H68" s="152">
        <f>H69+H90</f>
        <v>40.697674418604649</v>
      </c>
      <c r="I68" s="153"/>
      <c r="J68" s="154"/>
      <c r="K68" s="154"/>
    </row>
    <row r="69" ht="13.9">
      <c r="A69" s="155" t="s">
        <v>208</v>
      </c>
      <c r="B69" s="156" t="s">
        <v>209</v>
      </c>
      <c r="C69" s="157"/>
      <c r="D69" s="157"/>
      <c r="E69" s="157"/>
      <c r="F69" s="103"/>
      <c r="G69" s="103"/>
      <c r="H69" s="158">
        <f>SUM(H70:H88)</f>
        <v>40.697674418604649</v>
      </c>
      <c r="I69" s="157"/>
      <c r="J69" s="103"/>
      <c r="K69" s="103"/>
    </row>
    <row r="70" ht="13.9" outlineLevel="1">
      <c r="A70" s="67" t="s">
        <v>210</v>
      </c>
      <c r="B70" s="68" t="s">
        <v>211</v>
      </c>
      <c r="C70" s="69" t="s">
        <v>7</v>
      </c>
      <c r="D70" s="69" t="s">
        <v>20</v>
      </c>
      <c r="E70" s="69"/>
      <c r="H70" s="159" t="str">
        <f t="shared" ref="H70:H95" si="14">IF(E70="","",100/$G$96*G70)</f>
        <v/>
      </c>
      <c r="I70" s="71" t="s">
        <v>64</v>
      </c>
      <c r="J70" s="71"/>
      <c r="K70" s="54"/>
    </row>
    <row r="71" s="138" customFormat="1" ht="13.9" outlineLevel="1">
      <c r="A71" s="116" t="s">
        <v>212</v>
      </c>
      <c r="B71" s="117" t="s">
        <v>213</v>
      </c>
      <c r="C71" s="118" t="s">
        <v>7</v>
      </c>
      <c r="D71" s="118" t="s">
        <v>20</v>
      </c>
      <c r="E71" s="118"/>
      <c r="F71" s="115"/>
      <c r="G71" s="115"/>
      <c r="H71" s="160" t="str">
        <f t="shared" si="14"/>
        <v/>
      </c>
      <c r="I71" s="128" t="s">
        <v>64</v>
      </c>
      <c r="J71" s="118"/>
      <c r="K71" s="115"/>
    </row>
    <row r="72" s="130" customFormat="1" ht="54" outlineLevel="1">
      <c r="A72" s="123" t="s">
        <v>214</v>
      </c>
      <c r="B72" s="124" t="s">
        <v>215</v>
      </c>
      <c r="C72" s="125" t="s">
        <v>10</v>
      </c>
      <c r="D72" s="125" t="s">
        <v>18</v>
      </c>
      <c r="E72" s="125">
        <v>5</v>
      </c>
      <c r="F72" s="105">
        <v>10</v>
      </c>
      <c r="G72" s="105">
        <v>50</v>
      </c>
      <c r="H72" s="161">
        <f t="shared" si="14"/>
        <v>2.9069767441860463</v>
      </c>
      <c r="I72" s="128"/>
      <c r="J72" s="125">
        <f>IF(I72&gt;=100,50,IF(I72&gt;=75,25,IF(I72&gt;50,10,0)))</f>
        <v>0</v>
      </c>
      <c r="K72" s="124" t="s">
        <v>216</v>
      </c>
    </row>
    <row r="73" s="138" customFormat="1" ht="13.9" outlineLevel="1">
      <c r="A73" s="116" t="s">
        <v>217</v>
      </c>
      <c r="B73" s="117" t="s">
        <v>218</v>
      </c>
      <c r="C73" s="118" t="s">
        <v>7</v>
      </c>
      <c r="D73" s="118" t="s">
        <v>20</v>
      </c>
      <c r="E73" s="118"/>
      <c r="F73" s="115"/>
      <c r="G73" s="115"/>
      <c r="H73" s="160" t="str">
        <f t="shared" si="14"/>
        <v/>
      </c>
      <c r="I73" s="128" t="s">
        <v>64</v>
      </c>
      <c r="J73" s="118"/>
      <c r="K73" s="115"/>
    </row>
    <row r="74" s="130" customFormat="1" ht="40.5" outlineLevel="1">
      <c r="A74" s="123" t="s">
        <v>219</v>
      </c>
      <c r="B74" s="124" t="s">
        <v>220</v>
      </c>
      <c r="C74" s="125" t="s">
        <v>10</v>
      </c>
      <c r="D74" s="125" t="s">
        <v>18</v>
      </c>
      <c r="E74" s="125">
        <v>5</v>
      </c>
      <c r="F74" s="105">
        <v>10</v>
      </c>
      <c r="G74" s="105">
        <v>50</v>
      </c>
      <c r="H74" s="161">
        <f t="shared" si="14"/>
        <v>2.9069767441860463</v>
      </c>
      <c r="I74" s="128"/>
      <c r="J74" s="125">
        <f>IF(I74&gt;=1200,50,IF(I74&gt;600,25,IF(I74=600,0,0)))</f>
        <v>0</v>
      </c>
      <c r="K74" s="124" t="s">
        <v>221</v>
      </c>
    </row>
    <row r="75" s="138" customFormat="1" ht="13.9" outlineLevel="1">
      <c r="A75" s="116" t="s">
        <v>222</v>
      </c>
      <c r="B75" s="117" t="s">
        <v>223</v>
      </c>
      <c r="C75" s="118" t="s">
        <v>7</v>
      </c>
      <c r="D75" s="118" t="s">
        <v>20</v>
      </c>
      <c r="E75" s="118"/>
      <c r="F75" s="115"/>
      <c r="G75" s="115"/>
      <c r="H75" s="160" t="str">
        <f t="shared" si="14"/>
        <v/>
      </c>
      <c r="I75" s="128" t="s">
        <v>64</v>
      </c>
      <c r="J75" s="118"/>
      <c r="K75" s="115"/>
    </row>
    <row r="76" s="130" customFormat="1" ht="27" outlineLevel="1">
      <c r="A76" s="123" t="s">
        <v>224</v>
      </c>
      <c r="B76" s="124" t="s">
        <v>225</v>
      </c>
      <c r="C76" s="125" t="s">
        <v>10</v>
      </c>
      <c r="D76" s="125" t="s">
        <v>20</v>
      </c>
      <c r="E76" s="125">
        <v>5</v>
      </c>
      <c r="F76" s="105">
        <v>10</v>
      </c>
      <c r="G76" s="105">
        <v>50</v>
      </c>
      <c r="H76" s="161">
        <f t="shared" si="14"/>
        <v>2.9069767441860463</v>
      </c>
      <c r="I76" s="128" t="s">
        <v>64</v>
      </c>
      <c r="J76" s="125">
        <f>IF(I76="ja",50,IF(I76="nein",0,0))</f>
        <v>0</v>
      </c>
      <c r="K76" s="124" t="s">
        <v>65</v>
      </c>
    </row>
    <row r="77" s="130" customFormat="1" ht="27" outlineLevel="1">
      <c r="A77" s="123" t="s">
        <v>226</v>
      </c>
      <c r="B77" s="124" t="s">
        <v>227</v>
      </c>
      <c r="C77" s="125" t="s">
        <v>10</v>
      </c>
      <c r="D77" s="125" t="s">
        <v>20</v>
      </c>
      <c r="E77" s="125">
        <v>10</v>
      </c>
      <c r="F77" s="105">
        <v>10</v>
      </c>
      <c r="G77" s="105">
        <v>100</v>
      </c>
      <c r="H77" s="161">
        <f t="shared" si="14"/>
        <v>5.8139534883720927</v>
      </c>
      <c r="I77" s="128" t="s">
        <v>64</v>
      </c>
      <c r="J77" s="125">
        <f>IF(I77="CCD",100,IF(I77="CIS",0,0))</f>
        <v>0</v>
      </c>
      <c r="K77" s="124" t="s">
        <v>228</v>
      </c>
    </row>
    <row r="78" s="130" customFormat="1" ht="67.5" outlineLevel="1">
      <c r="A78" s="123" t="s">
        <v>229</v>
      </c>
      <c r="B78" s="124" t="s">
        <v>230</v>
      </c>
      <c r="C78" s="125" t="s">
        <v>10</v>
      </c>
      <c r="D78" s="125" t="s">
        <v>18</v>
      </c>
      <c r="E78" s="125">
        <v>5</v>
      </c>
      <c r="F78" s="105">
        <v>10</v>
      </c>
      <c r="G78" s="105">
        <v>50</v>
      </c>
      <c r="H78" s="161">
        <f t="shared" si="14"/>
        <v>2.9069767441860463</v>
      </c>
      <c r="I78" s="128"/>
      <c r="J78" s="125">
        <f>IF(I78&gt;=50,50,IF(I78&gt;=40,40,IF(I78&gt;=30,30,IF(I78&gt;20,20,IF(I78=20,0,0)))))</f>
        <v>0</v>
      </c>
      <c r="K78" s="124" t="s">
        <v>231</v>
      </c>
    </row>
    <row r="79" s="130" customFormat="1" ht="67.5" outlineLevel="1">
      <c r="A79" s="123" t="s">
        <v>232</v>
      </c>
      <c r="B79" s="124" t="s">
        <v>233</v>
      </c>
      <c r="C79" s="125" t="s">
        <v>10</v>
      </c>
      <c r="D79" s="125" t="s">
        <v>18</v>
      </c>
      <c r="E79" s="125">
        <v>5</v>
      </c>
      <c r="F79" s="105">
        <v>10</v>
      </c>
      <c r="G79" s="105">
        <v>50</v>
      </c>
      <c r="H79" s="161">
        <f t="shared" si="14"/>
        <v>2.9069767441860463</v>
      </c>
      <c r="I79" s="128"/>
      <c r="J79" s="125">
        <f>IF(I79&gt;=50,50,IF(I79&gt;=40,40,IF(I79&gt;=30,30,IF(I79&gt;20,20,0))))</f>
        <v>0</v>
      </c>
      <c r="K79" s="124" t="s">
        <v>231</v>
      </c>
    </row>
    <row r="80" s="138" customFormat="1" ht="13.9" outlineLevel="1">
      <c r="A80" s="116" t="s">
        <v>234</v>
      </c>
      <c r="B80" s="117" t="s">
        <v>235</v>
      </c>
      <c r="C80" s="118" t="s">
        <v>7</v>
      </c>
      <c r="D80" s="118" t="s">
        <v>20</v>
      </c>
      <c r="E80" s="118"/>
      <c r="F80" s="115"/>
      <c r="G80" s="115"/>
      <c r="H80" s="160" t="str">
        <f t="shared" si="14"/>
        <v/>
      </c>
      <c r="I80" s="128" t="s">
        <v>64</v>
      </c>
      <c r="J80" s="118"/>
      <c r="K80" s="115"/>
    </row>
    <row r="81" s="138" customFormat="1" ht="13.9" outlineLevel="1">
      <c r="A81" s="116" t="s">
        <v>236</v>
      </c>
      <c r="B81" s="117" t="s">
        <v>237</v>
      </c>
      <c r="C81" s="118" t="s">
        <v>7</v>
      </c>
      <c r="D81" s="118" t="s">
        <v>20</v>
      </c>
      <c r="E81" s="118"/>
      <c r="F81" s="115"/>
      <c r="G81" s="115"/>
      <c r="H81" s="160" t="str">
        <f t="shared" si="14"/>
        <v/>
      </c>
      <c r="I81" s="128" t="s">
        <v>64</v>
      </c>
      <c r="J81" s="118"/>
      <c r="K81" s="115"/>
    </row>
    <row r="82" s="138" customFormat="1" ht="13.9" outlineLevel="1">
      <c r="A82" s="116" t="s">
        <v>238</v>
      </c>
      <c r="B82" s="117" t="s">
        <v>239</v>
      </c>
      <c r="C82" s="118" t="s">
        <v>7</v>
      </c>
      <c r="D82" s="118" t="s">
        <v>20</v>
      </c>
      <c r="E82" s="118"/>
      <c r="F82" s="115"/>
      <c r="G82" s="115"/>
      <c r="H82" s="160" t="str">
        <f t="shared" si="14"/>
        <v/>
      </c>
      <c r="I82" s="128" t="s">
        <v>64</v>
      </c>
      <c r="J82" s="118"/>
      <c r="K82" s="115"/>
    </row>
    <row r="83" s="130" customFormat="1" ht="27" outlineLevel="1">
      <c r="A83" s="123" t="s">
        <v>240</v>
      </c>
      <c r="B83" s="124" t="s">
        <v>241</v>
      </c>
      <c r="C83" s="125" t="s">
        <v>10</v>
      </c>
      <c r="D83" s="125" t="s">
        <v>20</v>
      </c>
      <c r="E83" s="125">
        <v>5</v>
      </c>
      <c r="F83" s="105">
        <v>10</v>
      </c>
      <c r="G83" s="105">
        <v>50</v>
      </c>
      <c r="H83" s="161">
        <f t="shared" si="14"/>
        <v>2.9069767441860463</v>
      </c>
      <c r="I83" s="128" t="s">
        <v>64</v>
      </c>
      <c r="J83" s="125">
        <f>IF(I83="ja",50,IF(I83="nein",0,0))</f>
        <v>0</v>
      </c>
      <c r="K83" s="124" t="s">
        <v>65</v>
      </c>
    </row>
    <row r="84" s="138" customFormat="1" ht="13.9" outlineLevel="1">
      <c r="A84" s="116" t="s">
        <v>242</v>
      </c>
      <c r="B84" s="117" t="s">
        <v>243</v>
      </c>
      <c r="C84" s="118" t="s">
        <v>7</v>
      </c>
      <c r="D84" s="118" t="s">
        <v>20</v>
      </c>
      <c r="E84" s="118"/>
      <c r="F84" s="115"/>
      <c r="G84" s="115"/>
      <c r="H84" s="160" t="str">
        <f t="shared" si="14"/>
        <v/>
      </c>
      <c r="I84" s="128" t="s">
        <v>64</v>
      </c>
      <c r="J84" s="118"/>
      <c r="K84" s="115"/>
    </row>
    <row r="85" s="130" customFormat="1" ht="27" outlineLevel="1">
      <c r="A85" s="123" t="s">
        <v>244</v>
      </c>
      <c r="B85" s="124" t="s">
        <v>245</v>
      </c>
      <c r="C85" s="125" t="s">
        <v>10</v>
      </c>
      <c r="D85" s="125" t="s">
        <v>20</v>
      </c>
      <c r="E85" s="108">
        <v>10</v>
      </c>
      <c r="F85" s="105">
        <v>10</v>
      </c>
      <c r="G85" s="109">
        <v>100</v>
      </c>
      <c r="H85" s="161">
        <f t="shared" si="14"/>
        <v>5.8139534883720927</v>
      </c>
      <c r="I85" s="128" t="s">
        <v>64</v>
      </c>
      <c r="J85" s="125">
        <f>IF(I85="ja",100,IF(I85="nein",0,0))</f>
        <v>0</v>
      </c>
      <c r="K85" s="124" t="s">
        <v>65</v>
      </c>
    </row>
    <row r="86" s="138" customFormat="1" ht="27" outlineLevel="1">
      <c r="A86" s="116" t="s">
        <v>246</v>
      </c>
      <c r="B86" s="117" t="s">
        <v>247</v>
      </c>
      <c r="C86" s="118" t="s">
        <v>7</v>
      </c>
      <c r="D86" s="118" t="s">
        <v>20</v>
      </c>
      <c r="E86" s="118"/>
      <c r="F86" s="115"/>
      <c r="G86" s="115"/>
      <c r="H86" s="160" t="str">
        <f t="shared" si="14"/>
        <v/>
      </c>
      <c r="I86" s="128" t="s">
        <v>64</v>
      </c>
      <c r="J86" s="118"/>
      <c r="K86" s="115"/>
    </row>
    <row r="87" s="130" customFormat="1" ht="27" outlineLevel="1">
      <c r="A87" s="123" t="s">
        <v>248</v>
      </c>
      <c r="B87" s="124" t="s">
        <v>249</v>
      </c>
      <c r="C87" s="125" t="s">
        <v>10</v>
      </c>
      <c r="D87" s="125" t="s">
        <v>20</v>
      </c>
      <c r="E87" s="125">
        <v>10</v>
      </c>
      <c r="F87" s="105">
        <v>10</v>
      </c>
      <c r="G87" s="105">
        <v>100</v>
      </c>
      <c r="H87" s="161">
        <f t="shared" si="14"/>
        <v>5.8139534883720927</v>
      </c>
      <c r="I87" s="128" t="s">
        <v>64</v>
      </c>
      <c r="J87" s="125">
        <f>IF(I87="ja",100,IF(I87="nein",0,0))</f>
        <v>0</v>
      </c>
      <c r="K87" s="124" t="s">
        <v>65</v>
      </c>
    </row>
    <row r="88" s="130" customFormat="1" ht="27" outlineLevel="1">
      <c r="A88" s="123" t="s">
        <v>250</v>
      </c>
      <c r="B88" s="124" t="s">
        <v>251</v>
      </c>
      <c r="C88" s="125" t="s">
        <v>10</v>
      </c>
      <c r="D88" s="125" t="s">
        <v>20</v>
      </c>
      <c r="E88" s="108">
        <v>10</v>
      </c>
      <c r="F88" s="105">
        <v>10</v>
      </c>
      <c r="G88" s="109">
        <v>100</v>
      </c>
      <c r="H88" s="161">
        <f t="shared" si="14"/>
        <v>5.8139534883720927</v>
      </c>
      <c r="I88" s="128" t="s">
        <v>64</v>
      </c>
      <c r="J88" s="125">
        <f t="shared" ref="J88:J89" si="15">IF(I88="ja",150,IF(I88="nein",0,0))</f>
        <v>0</v>
      </c>
      <c r="K88" s="124" t="s">
        <v>65</v>
      </c>
    </row>
    <row r="89" s="138" customFormat="1" ht="13.25" customHeight="1" outlineLevel="1">
      <c r="A89" s="116" t="s">
        <v>252</v>
      </c>
      <c r="B89" s="117" t="s">
        <v>253</v>
      </c>
      <c r="C89" s="118" t="s">
        <v>7</v>
      </c>
      <c r="D89" s="118" t="s">
        <v>20</v>
      </c>
      <c r="E89" s="162"/>
      <c r="F89" s="115"/>
      <c r="G89" s="163"/>
      <c r="H89" s="160" t="str">
        <f t="shared" si="14"/>
        <v/>
      </c>
      <c r="I89" s="128" t="s">
        <v>64</v>
      </c>
      <c r="J89" s="118">
        <f t="shared" si="15"/>
        <v>0</v>
      </c>
      <c r="K89" s="117"/>
    </row>
    <row r="90" ht="13.9">
      <c r="A90" s="155" t="s">
        <v>254</v>
      </c>
      <c r="B90" s="156" t="s">
        <v>255</v>
      </c>
      <c r="C90" s="157"/>
      <c r="D90" s="157"/>
      <c r="E90" s="157"/>
      <c r="F90" s="103"/>
      <c r="G90" s="103"/>
      <c r="H90" s="64">
        <v>0</v>
      </c>
      <c r="I90" s="157"/>
      <c r="J90" s="103"/>
      <c r="K90" s="103"/>
    </row>
    <row r="91" s="138" customFormat="1" ht="13.9" outlineLevel="1">
      <c r="A91" s="116" t="s">
        <v>256</v>
      </c>
      <c r="B91" s="117" t="s">
        <v>257</v>
      </c>
      <c r="C91" s="118" t="s">
        <v>7</v>
      </c>
      <c r="D91" s="118" t="s">
        <v>20</v>
      </c>
      <c r="E91" s="118"/>
      <c r="F91" s="115"/>
      <c r="G91" s="115"/>
      <c r="H91" s="119" t="str">
        <f t="shared" si="14"/>
        <v/>
      </c>
      <c r="I91" s="128" t="s">
        <v>64</v>
      </c>
      <c r="J91" s="118"/>
      <c r="K91" s="115"/>
    </row>
    <row r="92" outlineLevel="1">
      <c r="A92" s="67" t="s">
        <v>258</v>
      </c>
      <c r="B92" s="68" t="s">
        <v>259</v>
      </c>
      <c r="C92" s="69" t="s">
        <v>7</v>
      </c>
      <c r="D92" s="69" t="s">
        <v>20</v>
      </c>
      <c r="E92" s="69"/>
      <c r="H92" s="70" t="str">
        <f t="shared" si="14"/>
        <v/>
      </c>
      <c r="I92" s="128" t="s">
        <v>64</v>
      </c>
      <c r="J92" s="71"/>
      <c r="K92" s="68"/>
    </row>
    <row r="93" outlineLevel="1">
      <c r="A93" s="67" t="s">
        <v>260</v>
      </c>
      <c r="B93" s="68" t="s">
        <v>261</v>
      </c>
      <c r="C93" s="69" t="s">
        <v>12</v>
      </c>
      <c r="D93" s="69" t="s">
        <v>18</v>
      </c>
      <c r="E93" s="69"/>
      <c r="H93" s="70" t="str">
        <f t="shared" si="14"/>
        <v/>
      </c>
      <c r="I93" s="128"/>
      <c r="J93" s="71"/>
      <c r="K93" s="68"/>
    </row>
    <row r="94" outlineLevel="1">
      <c r="A94" s="67" t="s">
        <v>262</v>
      </c>
      <c r="B94" s="68" t="s">
        <v>263</v>
      </c>
      <c r="C94" s="69" t="s">
        <v>7</v>
      </c>
      <c r="D94" s="69" t="s">
        <v>20</v>
      </c>
      <c r="E94" s="69"/>
      <c r="H94" s="70" t="str">
        <f t="shared" si="14"/>
        <v/>
      </c>
      <c r="I94" s="128" t="s">
        <v>64</v>
      </c>
      <c r="J94" s="71"/>
      <c r="K94" s="54"/>
    </row>
    <row r="95" s="138" customFormat="1" outlineLevel="1">
      <c r="A95" s="116" t="s">
        <v>264</v>
      </c>
      <c r="B95" s="117" t="s">
        <v>265</v>
      </c>
      <c r="C95" s="118" t="s">
        <v>7</v>
      </c>
      <c r="D95" s="118" t="s">
        <v>20</v>
      </c>
      <c r="E95" s="118"/>
      <c r="F95" s="115"/>
      <c r="G95" s="115"/>
      <c r="H95" s="119" t="str">
        <f t="shared" si="14"/>
        <v/>
      </c>
      <c r="I95" s="128" t="s">
        <v>64</v>
      </c>
      <c r="J95" s="118"/>
      <c r="K95" s="115"/>
    </row>
    <row r="96" ht="13.9">
      <c r="B96" s="72" t="s">
        <v>74</v>
      </c>
      <c r="C96" s="73"/>
      <c r="D96" s="73"/>
      <c r="E96" s="73"/>
      <c r="F96" s="74"/>
      <c r="G96" s="75">
        <f>SUM(G2:G95)</f>
        <v>1720</v>
      </c>
      <c r="H96" s="70">
        <f>H6+H30+H52+H60+H68</f>
        <v>100</v>
      </c>
      <c r="I96" s="164"/>
      <c r="J96" s="114">
        <f>SUM(J8:J95)</f>
        <v>0</v>
      </c>
      <c r="K96" s="86"/>
    </row>
  </sheetData>
  <protectedRanges>
    <protectedRange name="Gerätemaße" sqref="I9"/>
    <protectedRange name="Systemdaten" sqref="M9:M10 I8:I9 I13"/>
    <protectedRange name="Input Papierverarbeitung" sqref="I44 I48"/>
    <protectedRange name="interne Software" sqref="I66:I67 I58:I59 I54:I55 I10:I12 I50 I45 I26:I27 I42:I43 I19:I24 I32:I36 I40 I62:I64 I47 I29 I14:I17"/>
    <protectedRange name="Gerätebezeichnung" sqref="I8"/>
    <protectedRange name="Input Papierverarbeitung_2" sqref="I72 I74 I93"/>
    <protectedRange name="interne Software_1" sqref="I73 I70:I71 I94:I95 I91:I92 I80:I89 I75:I77"/>
    <protectedRange name="Input Papierverarbeitung_1_1" sqref="I78:I79"/>
    <protectedRange name="Input Papierverarbeitung_1_2_1" sqref="I56"/>
    <protectedRange name="GrammaturDuplexspeed_1" sqref="I38"/>
    <protectedRange name="Input Papierverarbeitung_4_1" sqref="I46"/>
    <protectedRange name="Input Papierverarbeitung_4" sqref="I51"/>
    <protectedRange name="interne Software_8" sqref="I39"/>
  </protectedRanges>
  <dataValidations count="7" disablePrompts="0" xWindow="1754" yWindow="594">
    <dataValidation sqref="I9" type="none" allowBlank="1" errorStyle="stop" imeMode="noControl" operator="between" prompt="Maße Basisgerät incl. ALLER in dieser angebotenen Konfiguration verbauten Optionen angeben. B×H×T in cm. Bsp: Angebotene Geräteversion mit 4 statt 2 Papierkassetten !&#10;" promptTitle="Abmaße (Werte in cm angeben!)" showDropDown="0" showErrorMessage="1" showInputMessage="1"/>
    <dataValidation sqref="I8" type="none" allowBlank="1" errorStyle="stop" imeMode="noControl" operator="between" prompt="Genaue Bezeichnung des Gerätes. Bitte vollständige Bezeichnung angeben.&#10;Beispiel: Laser 1345DN für Drucker Typ 1345 Duplex + Netzwerk" promptTitle="Bezeichnung des Gerätes" showDropDown="0" showErrorMessage="1" showInputMessage="1"/>
    <dataValidation sqref="I77" type="list" allowBlank="1" errorStyle="stop" imeMode="noControl" operator="between" prompt="Bitte wählen Sie aus dem Dropdown-Menü CCD oder CIS aus." promptTitle="Antwort wählen" showDropDown="0" showErrorMessage="1" showInputMessage="1">
      <formula1>Hilfsabellen!$B$14:$B$16</formula1>
    </dataValidation>
    <dataValidation sqref="I62:I64 I29 I54:I55 I47 I32:I36 I19:I24 I26:I27 I39:I40 I42:I43 I45 I70:I71 I73 I91:I92 I66:I67 I75:I76 I94:I95 I80:I89 I50:I51 I10:I12 I58:I59 I14:I17" type="list" allowBlank="1" errorStyle="stop" imeMode="noControl" operator="between" prompt="Bitte wählen Sie aus dem Dropdown-Menü Ja oder Nein aus." promptTitle="Antwort wählen" showDropDown="0" showErrorMessage="1" showInputMessage="1">
      <formula1>Hilfsabellen!$B$3:$B$5</formula1>
    </dataValidation>
    <dataValidation sqref="M9:M10" type="list" allowBlank="1" errorStyle="stop" imeMode="noControl" operator="between" showDropDown="0" showErrorMessage="1" showInputMessage="1">
      <formula1>Hilfsabellen!$B$3:$B$4</formula1>
    </dataValidation>
    <dataValidation sqref="I56" type="list" allowBlank="1" errorStyle="stop" imeMode="noControl" operator="between" prompt="Bitte geben Sie hier die Version der ENERGY STAR-Spezifikation an, nach der der TEC-Wert ermittelt wurde.  (01/2020 ist Ver. 3.0 in Kraft getreten)" promptTitle="Manuelle Eingabe: ENERGY STAR" showDropDown="0" showErrorMessage="1" showInputMessage="1">
      <formula1>Hilfsabellen!$B$22:$B$24</formula1>
    </dataValidation>
    <dataValidation sqref="N11" type="list" allowBlank="1" errorStyle="stop" imeMode="noControl" operator="between" showDropDown="0" showErrorMessage="1" showInputMessage="1">
      <formula1>Hilfsabellen!D14:D17</formula1>
    </dataValidation>
  </dataValidations>
  <printOptions headings="0" gridLines="0"/>
  <pageMargins left="0.70866141732283472" right="0.70866141732283472" top="0.98425196850393704" bottom="0.78740157480314954" header="0.31496062992125984" footer="0.31496062992125984"/>
  <pageSetup paperSize="9" scale="75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&amp;L&amp;G</oddHeader>
    <oddFooter>&amp;L&amp;D&amp;CPortal ID: CXQ6YYWYWMJ&amp;R&amp;A: Seite &amp;P von &amp;N</oddFooter>
  </headerFooter>
  <drawing r:id="rId1"/>
  <legacyDrawingHF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0" operator="containsText" text="A" id="{0F7E0C43-9381-46B8-AF56-3B5BB5BFCAE9}">
            <xm:f>NOT(ISERROR(SEARCH("A",C6)))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C6:C24 C26:C38 C42:C56 C58:C59 C65 C67:C78 C80:C95</xm:sqref>
        </x14:conditionalFormatting>
        <x14:conditionalFormatting xmlns:xm="http://schemas.microsoft.com/office/excel/2006/main">
          <x14:cfRule type="containsText" priority="3" operator="containsText" text="A" id="{363510E2-78A2-44F8-BE75-D6F403A941D9}">
            <xm:f>NOT(ISERROR(SEARCH("A",C39)))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C39:C40</xm:sqref>
        </x14:conditionalFormatting>
        <x14:conditionalFormatting xmlns:xm="http://schemas.microsoft.com/office/excel/2006/main">
          <x14:cfRule type="containsText" priority="119" operator="containsText" text="A" id="{EF052F67-94F5-4D42-BD14-3A0C2A824BBC}">
            <xm:f>NOT(ISERROR(SEARCH("A",C62)))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C62:C63</xm:sqref>
        </x14:conditionalFormatting>
        <x14:conditionalFormatting xmlns:xm="http://schemas.microsoft.com/office/excel/2006/main">
          <x14:cfRule type="expression" priority="43" id="{529E02BB-5790-4379-865A-FCCDED3B37C7}">
            <xm:f>NOT(ISBLANK($I$8))</xm:f>
            <x14:dxf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</xm:sqref>
        </x14:conditionalFormatting>
        <x14:conditionalFormatting xmlns:xm="http://schemas.microsoft.com/office/excel/2006/main">
          <x14:cfRule type="cellIs" priority="46" operator="equal" id="{E8621B9C-B67E-4F8B-BFCD-5835CEB6C397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I8:I17 I19:I36 I40:I45 I47:I50 I52:I88 I90:I95</xm:sqref>
        </x14:conditionalFormatting>
        <x14:conditionalFormatting xmlns:xm="http://schemas.microsoft.com/office/excel/2006/main">
          <x14:cfRule type="expression" priority="42" id="{1D88253F-89CD-4163-856E-952580B9AE81}">
            <xm:f>NOT(ISBLANK($I$9))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containsText" priority="45" operator="containsText" text="nein" id="{3E0C251F-9657-4DEA-AE79-059BD6C0EB3C}">
            <xm:f>NOT(ISERROR(SEARCH("nein",I10)))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I10:I12 I15:I16 I19 I21 I23:I24 I26:I27 I32:I34 I36 I40 I42:I43 I47 I50 I54:I55 I58 I62:I63 I70:I71 I73 I75 I80:I82 I84 I86 I91:I92 I94:I95</xm:sqref>
        </x14:conditionalFormatting>
        <x14:conditionalFormatting xmlns:xm="http://schemas.microsoft.com/office/excel/2006/main">
          <x14:cfRule type="expression" priority="41" id="{BD3472D2-BA23-4C4E-8FEC-E434034EE023}">
            <xm:f>NOT(ISBLANK($I$13))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I13</xm:sqref>
        </x14:conditionalFormatting>
        <x14:conditionalFormatting xmlns:xm="http://schemas.microsoft.com/office/excel/2006/main">
          <x14:cfRule type="containsText" priority="44" operator="containsText" text="nein" id="{E2D1E3CC-8CEB-4B15-9E85-C100BB4D1E19}">
            <xm:f>NOT(ISERROR(SEARCH("nein",I14)))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I14 I17 I20 I22 I29 I35 I45 I59 I64 I66:I67 I83 I85</xm:sqref>
        </x14:conditionalFormatting>
        <x14:conditionalFormatting xmlns:xm="http://schemas.microsoft.com/office/excel/2006/main">
          <x14:cfRule type="expression" priority="15" id="{EFC9A37B-64AD-46C8-873D-CB287512A073}">
            <xm:f>NOT(ISBLANK($I$37))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I37</xm:sqref>
        </x14:conditionalFormatting>
        <x14:conditionalFormatting xmlns:xm="http://schemas.microsoft.com/office/excel/2006/main">
          <x14:cfRule type="cellIs" priority="2" operator="equal" id="{83931C9C-261E-484F-8A2A-CEE1A8724C65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I37:I39</xm:sqref>
        </x14:conditionalFormatting>
        <x14:conditionalFormatting xmlns:xm="http://schemas.microsoft.com/office/excel/2006/main">
          <x14:cfRule type="expression" priority="14" id="{EEEF2F7A-543B-4F0E-8130-63A8D1093DA0}">
            <xm:f>NOT(ISBLANK($I$38))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I38</xm:sqref>
        </x14:conditionalFormatting>
        <x14:conditionalFormatting xmlns:xm="http://schemas.microsoft.com/office/excel/2006/main">
          <x14:cfRule type="containsText" priority="1" operator="containsText" text="nein" id="{BD8B57F5-EA27-44A4-90FC-7786C9AD7CA3}">
            <xm:f>NOT(ISERROR(SEARCH("nein",I39)))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I39</xm:sqref>
        </x14:conditionalFormatting>
        <x14:conditionalFormatting xmlns:xm="http://schemas.microsoft.com/office/excel/2006/main">
          <x14:cfRule type="expression" priority="37" id="{7A3D1C0F-A855-4231-98D6-ACD913DB70BD}">
            <xm:f>NOT(ISBLANK($I$44))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I44</xm:sqref>
        </x14:conditionalFormatting>
        <x14:conditionalFormatting xmlns:xm="http://schemas.microsoft.com/office/excel/2006/main">
          <x14:cfRule type="expression" priority="12" id="{5DE93B52-2C3E-4B01-8D1E-2396634ADE6E}">
            <xm:f>NOT(ISBLANK($I$46))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I46</xm:sqref>
        </x14:conditionalFormatting>
        <x14:conditionalFormatting xmlns:xm="http://schemas.microsoft.com/office/excel/2006/main">
          <x14:cfRule type="cellIs" priority="13" operator="equal" id="{F19DF4AC-1C75-4B40-A30A-EBE00D0B71B4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I46</xm:sqref>
        </x14:conditionalFormatting>
        <x14:conditionalFormatting xmlns:xm="http://schemas.microsoft.com/office/excel/2006/main">
          <x14:cfRule type="expression" priority="35" id="{B384E563-0E88-45BF-A9CC-16E88F71ECF2}">
            <xm:f>NOT(ISBLANK($I$48))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I48</xm:sqref>
        </x14:conditionalFormatting>
        <x14:conditionalFormatting xmlns:xm="http://schemas.microsoft.com/office/excel/2006/main">
          <x14:cfRule type="expression" priority="10" id="{05AC7361-F613-467A-AB14-D29474397C7D}">
            <xm:f>NOT(ISBLANK($I$51))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I51</xm:sqref>
        </x14:conditionalFormatting>
        <x14:conditionalFormatting xmlns:xm="http://schemas.microsoft.com/office/excel/2006/main">
          <x14:cfRule type="cellIs" priority="11" operator="equal" id="{CF31DF93-24BE-4750-BB44-37C9613A5D5E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I51</xm:sqref>
        </x14:conditionalFormatting>
        <x14:conditionalFormatting xmlns:xm="http://schemas.microsoft.com/office/excel/2006/main">
          <x14:cfRule type="containsText" priority="32" operator="containsText" text="2.0" id="{A276DED8-6A5F-427B-8DAD-B2954CAC4B93}">
            <xm:f>NOT(ISERROR(SEARCH("2.0",I56)))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I56</xm:sqref>
        </x14:conditionalFormatting>
        <x14:conditionalFormatting xmlns:xm="http://schemas.microsoft.com/office/excel/2006/main">
          <x14:cfRule type="containsText" priority="31" operator="containsText" text="3.0" id="{53DD41E8-DEAD-4581-A7A7-2CAADBA17A5A}">
            <xm:f>NOT(ISERROR(SEARCH("3.0",I56)))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I56</xm:sqref>
        </x14:conditionalFormatting>
        <x14:conditionalFormatting xmlns:xm="http://schemas.microsoft.com/office/excel/2006/main">
          <x14:cfRule type="expression" priority="23" id="{4C0CDCFB-A96C-4C18-B9E7-DB02A3877355}">
            <xm:f>NOT(ISBLANK($I$72))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I72</xm:sqref>
        </x14:conditionalFormatting>
        <x14:conditionalFormatting xmlns:xm="http://schemas.microsoft.com/office/excel/2006/main">
          <x14:cfRule type="expression" priority="22" id="{ABECB886-F897-4FB0-B9EF-EAF085F4C01E}">
            <xm:f>NOT(ISBLANK($I$74))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I74</xm:sqref>
        </x14:conditionalFormatting>
        <x14:conditionalFormatting xmlns:xm="http://schemas.microsoft.com/office/excel/2006/main">
          <x14:cfRule type="containsText" priority="6" operator="containsText" text="nein" id="{CC43C82E-8269-413C-A540-5C8477BEFCDA}">
            <xm:f>NOT(ISERROR(SEARCH("nein",I76)))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I76</xm:sqref>
        </x14:conditionalFormatting>
        <x14:conditionalFormatting xmlns:xm="http://schemas.microsoft.com/office/excel/2006/main">
          <x14:cfRule type="containsText" priority="21" operator="containsText" text="CCD" id="{40C528B7-6436-46F0-8D8F-78F8636F7E01}">
            <xm:f>NOT(ISERROR(SEARCH("CCD",I77)))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I77</xm:sqref>
        </x14:conditionalFormatting>
        <x14:conditionalFormatting xmlns:xm="http://schemas.microsoft.com/office/excel/2006/main">
          <x14:cfRule type="containsText" priority="20" operator="containsText" text="CIS" id="{DDE0C1F7-F160-4894-A792-3F7E88B9EFB5}">
            <xm:f>NOT(ISERROR(SEARCH("CIS",I77)))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I77</xm:sqref>
        </x14:conditionalFormatting>
        <x14:conditionalFormatting xmlns:xm="http://schemas.microsoft.com/office/excel/2006/main">
          <x14:cfRule type="expression" priority="19" id="{D2052D97-8432-4E44-8ED5-BFAAD85191C2}">
            <xm:f>NOT(ISBLANK($I$78))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I78</xm:sqref>
        </x14:conditionalFormatting>
        <x14:conditionalFormatting xmlns:xm="http://schemas.microsoft.com/office/excel/2006/main">
          <x14:cfRule type="expression" priority="18" id="{A0E19F06-714E-4429-A9DF-3407DD425113}">
            <xm:f>NOT(ISBLANK($I$79))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I79</xm:sqref>
        </x14:conditionalFormatting>
        <x14:conditionalFormatting xmlns:xm="http://schemas.microsoft.com/office/excel/2006/main">
          <x14:cfRule type="containsText" priority="4" operator="containsText" text="nein" id="{D5D8530A-8EEF-41DA-A7A5-1ABFAB72DFB9}">
            <xm:f>NOT(ISERROR(SEARCH("nein",I87)))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I87:I89</xm:sqref>
        </x14:conditionalFormatting>
        <x14:conditionalFormatting xmlns:xm="http://schemas.microsoft.com/office/excel/2006/main">
          <x14:cfRule type="cellIs" priority="5" operator="equal" id="{B17E5EE9-29C8-4966-ACB9-FBD1EDAA64EE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I89</xm:sqref>
        </x14:conditionalFormatting>
        <x14:conditionalFormatting xmlns:xm="http://schemas.microsoft.com/office/excel/2006/main">
          <x14:cfRule type="expression" priority="17" id="{5FF99849-F21C-4BE7-820E-046EA47692C5}">
            <xm:f>NOT(ISBLANK($I$93))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I93</xm:sqref>
        </x14:conditionalFormatting>
        <x14:conditionalFormatting xmlns:xm="http://schemas.microsoft.com/office/excel/2006/main">
          <x14:cfRule type="containsText" priority="217" operator="containsText" text="nein" id="{64FD7367-26FC-42FE-B1C7-73C16B6B0566}">
            <xm:f>NOT(ISERROR(SEARCH("nein",M9)))</xm:f>
            <x14:dxf>
              <border>
                <left style="thin">
                  <color rgb="FF9C0006"/>
                </left>
                <right style="thin">
                  <color rgb="FF9C0006"/>
                </right>
                <top style="thin">
                  <color rgb="FF9C0006"/>
                </top>
                <bottom style="thin">
                  <color rgb="FF9C0006"/>
                </bottom>
                <diagonal style="none"/>
                <vertical style="none"/>
                <horizontal style="none"/>
              </border>
            </x14:dxf>
          </x14:cfRule>
          <xm:sqref>M9:M10</xm:sqref>
        </x14:conditionalFormatting>
        <x14:conditionalFormatting xmlns:xm="http://schemas.microsoft.com/office/excel/2006/main">
          <x14:cfRule type="containsText" priority="218" operator="containsText" text="nein" id="{A32BFFFA-4042-4C79-9CB4-6BF6963259B3}">
            <xm:f>NOT(ISERROR(SEARCH("nein",M9)))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M9:M10</xm:sqref>
        </x14:conditionalFormatting>
        <x14:conditionalFormatting xmlns:xm="http://schemas.microsoft.com/office/excel/2006/main">
          <x14:cfRule type="containsText" priority="219" operator="containsText" text="ja" id="{8F69B878-D05C-4465-B1A5-F25272AEA65C}">
            <xm:f>NOT(ISERROR(SEARCH("ja",M9)))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M9:M10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6" disablePrompts="0" xWindow="1754" yWindow="594">
        <x14:dataValidation xr:uid="{10472BE0-3B28-4555-9B1C-638D41BAD3BD}" type="whole" allowBlank="1" error="Die eingegebenen Wete liegen außerhalb des erlaubten Bereichs: Zahlen von 20-300" errorStyle="stop" errorTitle="Ungültige Werte" imeMode="noControl" operator="between" prompt="Bitte geben Sie hier die maximale Scangeschwindigkeit für einseitige Dokumente an. (Werte zwischen 20-300)" promptTitle="Manuelle Eingabe: Scans pro min" showDropDown="0" showErrorMessage="1" showInputMessage="1">
          <x14:formula1>
            <xm:f>20</xm:f>
          </x14:formula1>
          <x14:formula2>
            <xm:f>300</xm:f>
          </x14:formula2>
          <xm:sqref>I78</xm:sqref>
        </x14:dataValidation>
        <x14:dataValidation xr:uid="{12A0D5BD-07FF-4020-BD0F-08281B70F57B}" type="whole" allowBlank="1" error="Die eingegebenen Werte liegen außerhalb des erlaubten Bereichs: Zahlen von 10-600" errorStyle="stop" errorTitle="Ungültige Werte" imeMode="noControl" operator="between" prompt="Bitte geben Sie hier die maximale Scangeschwindigkeit für zweiseitige Dokumente an. (Werte zwischen 10-600)" promptTitle="Manuelle Eingabe: Scans pro min" showDropDown="0" showErrorMessage="1" showInputMessage="1">
          <x14:formula1>
            <xm:f>10</xm:f>
          </x14:formula1>
          <x14:formula2>
            <xm:f>600</xm:f>
          </x14:formula2>
          <xm:sqref>I79</xm:sqref>
        </x14:dataValidation>
        <x14:dataValidation xr:uid="{C3F6A313-C325-432D-A9A7-4B764A5C5C2F}" type="whole" allowBlank="1" error="Die eingegebenen Werte liegen außerhalb des erlaubten Bereichs: Zahlen von 50-500" errorStyle="stop" errorTitle="Ungültige Werte" imeMode="noControl" operator="between" prompt="Bitte geben Sie hier die maximale Blattzahl (Papier 80 g/m²) an, die mit dem Vorlageneinzug verarbeitet werden kann." promptTitle="Manuelle Eingabe: Anzahl Blätter" showDropDown="0" showErrorMessage="1" showInputMessage="1">
          <x14:formula1>
            <xm:f>50</xm:f>
          </x14:formula1>
          <x14:formula2>
            <xm:f>500</xm:f>
          </x14:formula2>
          <xm:sqref>I72</xm:sqref>
        </x14:dataValidation>
        <x14:dataValidation xr:uid="{766440A0-60C8-41E1-B96F-6668BD628CD2}" type="whole" allowBlank="1" error="Die eingegebenen Wete liegen außerhalb des erlaubten Bereichs: Zahlen von 600-9600" errorStyle="stop" errorTitle="Ungültige Werte" imeMode="noControl" operator="between" prompt="Bitte geben Sie hier die maximale optische Scanauflösung an" promptTitle="Manuelle Eingabe: Auflösung" showDropDown="0" showErrorMessage="1" showInputMessage="1">
          <x14:formula1>
            <xm:f>600</xm:f>
          </x14:formula1>
          <x14:formula2>
            <xm:f>9600</xm:f>
          </x14:formula2>
          <xm:sqref>I74</xm:sqref>
        </x14:dataValidation>
        <x14:dataValidation xr:uid="{410AA8C6-6DAF-45F8-8741-6CCDE3F3E211}" type="whole" allowBlank="1" error="Die eingegebenen Wete liegen außerhalb des erlaubten Bereichs: Zahlen von 600-9600" errorStyle="stop" errorTitle="Ungültige Werte" imeMode="noControl" operator="between" prompt="Bitte geben Sie hier die maximale optische Kopienauflösung an" promptTitle="Manuelle Eingabe: Auflösung" showDropDown="0" showErrorMessage="1" showInputMessage="1">
          <x14:formula1>
            <xm:f>600</xm:f>
          </x14:formula1>
          <x14:formula2>
            <xm:f>9600</xm:f>
          </x14:formula2>
          <xm:sqref>I93</xm:sqref>
        </x14:dataValidation>
        <x14:dataValidation xr:uid="{39447264-7868-4CB2-BD64-5122D35A512E}" type="whole" allowBlank="1" error="Die eingegebenen Werte liegen außerhalb des erlaubten Bereichs: Zahlen von 160-500" errorStyle="stop" errorTitle="Ungültige Werte" imeMode="noControl" operator="between" prompt="Bitte die Materialstärke in g/m² eingeben. (Eingaben zwischen 160-500 möglich)" promptTitle="Antwort wählen" showDropDown="0" showErrorMessage="1" showInputMessage="1">
          <x14:formula1>
            <xm:f>160</xm:f>
          </x14:formula1>
          <x14:formula2>
            <xm:f>500</xm:f>
          </x14:formula2>
          <xm:sqref>I44</xm:sqref>
        </x14:dataValidation>
        <x14:dataValidation xr:uid="{A19C8C21-08B1-4658-B440-AFF558E28D2D}" type="whole" allowBlank="1" error="Eingaben sind nur zwischen 160-500 möglich." errorStyle="stop" errorTitle="Außerhalb d. zulässigen Bereichs" imeMode="noControl" operator="between" prompt="Bitte die Materialstärke in g/m² eingeben. (Eingaben zwischen 160-500 möglich)" promptTitle="Manuelle Eingabe: max. Grammatur" showDropDown="0" showErrorMessage="1" showInputMessage="1">
          <x14:formula1>
            <xm:f>160</xm:f>
          </x14:formula1>
          <x14:formula2>
            <xm:f>500</xm:f>
          </x14:formula2>
          <xm:sqref>I44</xm:sqref>
        </x14:dataValidation>
        <x14:dataValidation xr:uid="{B4BB593C-9E13-4331-96BA-A7025BED9305}" type="decimal" allowBlank="1" error="Die eingegebenen Werte liegen außerhalb des erlaubten Bereichs: Zahlen von 1-100" errorStyle="stop" errorTitle="Ungültige Werte" imeMode="noControl" operator="between" prompt="Geben Sie prozentual die max. Druckgeschw. im Duplexbetrieb an. Bsp.: Wenn das 30 S./min.-Gerät im Duplexmodus nur noch 20 S./min. schafft, geben Sie bitte &quot;66&quot; an." promptTitle="Druckgeschw. im Duplexmodus" showDropDown="0" showErrorMessage="1" showInputMessage="1">
          <x14:formula1>
            <xm:f>1</xm:f>
          </x14:formula1>
          <x14:formula2>
            <xm:f>100</xm:f>
          </x14:formula2>
          <xm:sqref>I38</xm:sqref>
        </x14:dataValidation>
        <x14:dataValidation xr:uid="{F3C08216-01F0-46B2-8AF5-3EE3E1C0FD29}" type="list" allowBlank="1" errorStyle="stop" imeMode="noControl" operator="between" showDropDown="0" showErrorMessage="1" showInputMessage="1">
          <x14:formula1>
            <xm:f>Kopiergeschw.</xm:f>
          </x14:formula1>
          <xm:sqref>N12</xm:sqref>
        </x14:dataValidation>
        <x14:dataValidation xr:uid="{A8DA156F-5CAE-41B8-8905-CF3B278ADB52}" type="whole" allowBlank="1" error="250 Blatt Ausgabekapazität ist Minium.&#10;Eingaben zulässig: Zahlen von 250-3500" errorStyle="stop" errorTitle="Außerhalb Bereich" imeMode="noControl" operator="between" prompt="Bitte geben Sie hier die maximale Grammatur in g/m² an, die über die Zusatzzufuhr verarbeitet werden kann." promptTitle="Manuelle Eingabe: max. Grammatur" showDropDown="0" showErrorMessage="1" showInputMessage="1">
          <x14:formula1>
            <xm:f>250</xm:f>
          </x14:formula1>
          <x14:formula2>
            <xm:f>3500</xm:f>
          </x14:formula2>
          <xm:sqref>I51</xm:sqref>
        </x14:dataValidation>
        <x14:dataValidation xr:uid="{AAE829D3-4522-4484-BF37-C4DF4C8A5DDF}" type="whole" allowBlank="1" error="Die eingegebenen Werte liegen außerhalb des erlaubten Bereichs: Zahlen von 80-550" errorStyle="stop" errorTitle="Ungültige Werte" imeMode="noControl" operator="between" prompt="Bitte geben Sie die max. Grammatur für Duplexdrucke an." promptTitle="max. Duplexgrammatur" showDropDown="0" showErrorMessage="1" showInputMessage="1">
          <x14:formula1>
            <xm:f>80</xm:f>
          </x14:formula1>
          <x14:formula2>
            <xm:f>550</xm:f>
          </x14:formula2>
          <xm:sqref>I37</xm:sqref>
        </x14:dataValidation>
        <x14:dataValidation xr:uid="{61BC171B-DCCD-4F26-AA70-C6A4B642D071}" type="whole" allowBlank="1" error="Die Anzahl der konfigurierbaren Kassetten muss mindestens 2 betragen. Alle Werte darunter widersprechen den Kriterien für diesen Gerätetypus. (Eingabebereich: 2-6)" errorStyle="stop" errorTitle="Zu wenig Kassetten!" imeMode="noControl" operator="between" prompt="Bitte die maximale Anzahl an Papierkassetten als numerischen Wert eingeben. Bei zwei Kassetten also bitte &quot;2&quot;. (Mindestwert ist: 2)" promptTitle="max. Anz. an Papierkassetten" showDropDown="0" showErrorMessage="1" showInputMessage="1">
          <x14:formula1>
            <xm:f>2</xm:f>
          </x14:formula1>
          <x14:formula2>
            <xm:f>6</xm:f>
          </x14:formula2>
          <xm:sqref>I48</xm:sqref>
        </x14:dataValidation>
        <x14:dataValidation xr:uid="{F3565203-B28D-4FF9-874B-FB18C3AFF47A}" type="list" allowBlank="1" errorStyle="stop" imeMode="noControl" operator="between" showDropDown="0" showErrorMessage="1" showInputMessage="1">
          <x14:formula1>
            <xm:f>MFG</xm:f>
          </x14:formula1>
          <xm:sqref>O8</xm:sqref>
        </x14:dataValidation>
        <x14:dataValidation xr:uid="{E78EE520-614B-43F8-BF00-E07CCFFED571}" type="list" allowBlank="1" errorStyle="stop" imeMode="noControl" operator="between" showDropDown="0" showErrorMessage="1" showInputMessage="1">
          <x14:formula1>
            <xm:f>Druckvolumen</xm:f>
          </x14:formula1>
          <xm:sqref>N9:N10</xm:sqref>
        </x14:dataValidation>
        <x14:dataValidation xr:uid="{9B885A42-2A14-479B-BD32-3DD032237D9A}" type="whole" allowBlank="1" error="Das Gerät muss mit mindestens 512 MB RAM ausgestattet sein.&#10;Maximale RAM Ausstattung 16.384 MB" errorStyle="stop" errorTitle="Gültige Werte" imeMode="noControl" operator="between" prompt="Geben Sie hier die Größe des Speichers in MB an." promptTitle="RAM-Größe in MB" showDropDown="0" showErrorMessage="1" showInputMessage="1">
          <x14:formula1>
            <xm:f>512</xm:f>
          </x14:formula1>
          <x14:formula2>
            <xm:f>16384</xm:f>
          </x14:formula2>
          <xm:sqref>I13</xm:sqref>
        </x14:dataValidation>
        <x14:dataValidation xr:uid="{53FC8B91-0952-4CAD-BE0C-E5A340CF8ED3}" type="whole" allowBlank="1" error="Die eingegebenen Werte liegen außerhalb des erlaubten Bereichs: Zahlen von 250-5.000" errorStyle="stop" errorTitle="Ungültige Werte" imeMode="noControl" operator="between" prompt="Bitte geben Sie hier die maximale Blattzahl (Papier 80 g/m²) an, die in einer Papierkassette verarbeitet werden kann. (Mindestwert 250 beachten!)" promptTitle="Manuelle Eingabe: Anzahl Blätter" showDropDown="0" showErrorMessage="1" showInputMessage="1">
          <x14:formula1>
            <xm:f>250</xm:f>
          </x14:formula1>
          <x14:formula2>
            <xm:f>5000</xm:f>
          </x14:formula2>
          <xm:sqref>I46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Tabelle1">
    <outlinePr applyStyles="0" summaryBelow="1" summaryRight="1" showOutlineSymbols="1"/>
    <pageSetUpPr autoPageBreaks="1" fitToPage="0"/>
  </sheetPr>
  <sheetViews>
    <sheetView showGridLines="0" topLeftCell="A1" zoomScale="100" workbookViewId="0">
      <pane ySplit="5" topLeftCell="A6" activePane="bottomLeft" state="frozen"/>
      <selection activeCell="B108" activeCellId="0" sqref="B108"/>
    </sheetView>
  </sheetViews>
  <sheetFormatPr baseColWidth="10" defaultColWidth="11.46484375" defaultRowHeight="14.25" outlineLevelRow="1"/>
  <cols>
    <col customWidth="1" min="1" max="1" style="67" width="7"/>
    <col customWidth="1" min="2" max="2" style="77" width="74.33203125"/>
    <col customWidth="1" min="3" max="3" style="78" width="7.796875"/>
    <col customWidth="1" min="4" max="4" style="78" width="6.19921875"/>
    <col customWidth="1" min="5" max="5" style="78" width="4.19921875"/>
    <col customWidth="1" min="6" max="6" style="54" width="4.796875"/>
    <col customWidth="1" min="7" max="7" style="54" width="6.796875"/>
    <col customWidth="1" min="8" max="8" style="79" width="10.796875"/>
    <col customWidth="1" min="9" max="9" style="78" width="18.796875"/>
    <col customWidth="1" hidden="1" min="10" max="10" style="69" width="13.796875"/>
    <col customWidth="1" min="11" max="11" style="66" width="28.19921875"/>
    <col customWidth="1" min="12" max="12" style="66" width="14.796875"/>
    <col customWidth="1" min="13" max="13" style="66" width="11.46484375"/>
    <col customWidth="1" min="14" max="14" style="66" width="59"/>
    <col customWidth="1" min="15" max="15" style="66" width="11.46484375"/>
    <col min="16" max="16384" style="66" width="11.46484375"/>
  </cols>
  <sheetData>
    <row r="1" ht="6.5999999999999996" customHeight="1"/>
    <row r="2" ht="16.5">
      <c r="A2" s="80" t="s">
        <v>266</v>
      </c>
      <c r="D2" s="81"/>
      <c r="E2" s="66"/>
      <c r="F2" s="66"/>
      <c r="H2" s="82"/>
      <c r="I2" s="83"/>
      <c r="K2" s="82"/>
    </row>
    <row r="3">
      <c r="A3" s="67" t="s">
        <v>267</v>
      </c>
      <c r="D3" s="81"/>
      <c r="E3" s="66"/>
      <c r="F3" s="66"/>
      <c r="H3" s="82"/>
      <c r="I3" s="83"/>
      <c r="K3" s="82"/>
    </row>
    <row r="4" ht="13.9">
      <c r="A4" s="84"/>
      <c r="E4" s="66"/>
      <c r="F4" s="66"/>
    </row>
    <row r="5" s="85" customFormat="1" ht="67.5" customHeight="1">
      <c r="A5" s="47" t="s">
        <v>25</v>
      </c>
      <c r="B5" s="48" t="s">
        <v>26</v>
      </c>
      <c r="C5" s="49" t="s">
        <v>55</v>
      </c>
      <c r="D5" s="49" t="s">
        <v>56</v>
      </c>
      <c r="E5" s="49" t="s">
        <v>35</v>
      </c>
      <c r="F5" s="49" t="s">
        <v>36</v>
      </c>
      <c r="G5" s="49" t="s">
        <v>37</v>
      </c>
      <c r="H5" s="50" t="s">
        <v>38</v>
      </c>
      <c r="I5" s="51" t="s">
        <v>43</v>
      </c>
      <c r="J5" s="52" t="s">
        <v>57</v>
      </c>
      <c r="K5" s="53" t="s">
        <v>44</v>
      </c>
      <c r="L5" s="86"/>
      <c r="M5" s="86"/>
      <c r="N5" s="86"/>
      <c r="O5" s="86"/>
      <c r="P5" s="87"/>
      <c r="Q5" s="87"/>
    </row>
    <row r="6" ht="28.350000000000001" customHeight="1">
      <c r="A6" s="88" t="s">
        <v>77</v>
      </c>
      <c r="B6" s="89" t="s">
        <v>78</v>
      </c>
      <c r="C6" s="90"/>
      <c r="D6" s="90"/>
      <c r="E6" s="91"/>
      <c r="F6" s="92"/>
      <c r="G6" s="92"/>
      <c r="H6" s="93">
        <f>H7+H19+H29+H26</f>
        <v>7.8431372549019613</v>
      </c>
      <c r="I6" s="94"/>
      <c r="J6" s="95"/>
      <c r="K6" s="96"/>
      <c r="L6" s="86"/>
      <c r="M6" s="86"/>
      <c r="N6" s="86"/>
      <c r="O6" s="86"/>
      <c r="P6" s="86"/>
      <c r="Q6" s="86"/>
    </row>
    <row r="7" s="54" customFormat="1" ht="13.9">
      <c r="A7" s="97" t="s">
        <v>79</v>
      </c>
      <c r="B7" s="98" t="s">
        <v>80</v>
      </c>
      <c r="C7" s="99"/>
      <c r="D7" s="99"/>
      <c r="E7" s="100"/>
      <c r="F7" s="101"/>
      <c r="G7" s="101"/>
      <c r="H7" s="102">
        <f>SUM(H8:H18)</f>
        <v>3.9215686274509807</v>
      </c>
      <c r="I7" s="99"/>
      <c r="J7" s="99"/>
      <c r="K7" s="103"/>
      <c r="L7" s="104"/>
      <c r="M7" s="104"/>
      <c r="N7" s="104"/>
      <c r="O7" s="104"/>
      <c r="P7" s="104"/>
      <c r="Q7" s="104"/>
    </row>
    <row r="8" s="54" customFormat="1" ht="114.75" customHeight="1" outlineLevel="1">
      <c r="A8" s="165" t="s">
        <v>81</v>
      </c>
      <c r="B8" s="129" t="s">
        <v>82</v>
      </c>
      <c r="C8" s="114" t="s">
        <v>12</v>
      </c>
      <c r="D8" s="114" t="s">
        <v>18</v>
      </c>
      <c r="E8" s="114"/>
      <c r="F8" s="104"/>
      <c r="G8" s="104" t="str">
        <f t="shared" ref="G8:G16" si="16">IF(E8="","",E8*F8)</f>
        <v/>
      </c>
      <c r="H8" s="166" t="str">
        <f t="shared" ref="H8:H17" si="17">IF(E8="","",100/$G$106*G8)</f>
        <v/>
      </c>
      <c r="I8" s="167"/>
      <c r="J8" s="168"/>
      <c r="L8" s="104"/>
      <c r="M8" s="104"/>
      <c r="N8" s="86"/>
      <c r="O8" s="86"/>
      <c r="P8" s="104"/>
      <c r="Q8" s="104"/>
    </row>
    <row r="9" s="54" customFormat="1" outlineLevel="1">
      <c r="A9" s="67" t="s">
        <v>83</v>
      </c>
      <c r="B9" s="68" t="s">
        <v>84</v>
      </c>
      <c r="C9" s="69" t="s">
        <v>12</v>
      </c>
      <c r="D9" s="69" t="s">
        <v>18</v>
      </c>
      <c r="E9" s="69"/>
      <c r="G9" s="54" t="str">
        <f t="shared" si="16"/>
        <v/>
      </c>
      <c r="H9" s="70" t="str">
        <f t="shared" si="17"/>
        <v/>
      </c>
      <c r="I9" s="169"/>
      <c r="J9" s="71"/>
      <c r="L9" s="104"/>
      <c r="M9" s="114"/>
      <c r="N9" s="86"/>
      <c r="O9" s="86"/>
      <c r="P9" s="104"/>
      <c r="Q9" s="104"/>
    </row>
    <row r="10" s="115" customFormat="1" outlineLevel="1">
      <c r="A10" s="116" t="s">
        <v>85</v>
      </c>
      <c r="B10" s="117" t="s">
        <v>86</v>
      </c>
      <c r="C10" s="118" t="s">
        <v>7</v>
      </c>
      <c r="D10" s="118" t="s">
        <v>20</v>
      </c>
      <c r="E10" s="118"/>
      <c r="G10" s="115" t="str">
        <f>IF(E10="","",E10*F10)</f>
        <v/>
      </c>
      <c r="H10" s="119" t="str">
        <f t="shared" si="17"/>
        <v/>
      </c>
      <c r="I10" s="113" t="s">
        <v>64</v>
      </c>
      <c r="J10" s="118"/>
      <c r="L10" s="120"/>
      <c r="M10" s="121"/>
      <c r="N10" s="122"/>
      <c r="O10" s="122"/>
      <c r="P10" s="120"/>
      <c r="Q10" s="120"/>
    </row>
    <row r="11" s="115" customFormat="1" ht="13.9" outlineLevel="1">
      <c r="A11" s="116" t="s">
        <v>87</v>
      </c>
      <c r="B11" s="117" t="s">
        <v>268</v>
      </c>
      <c r="C11" s="118" t="s">
        <v>7</v>
      </c>
      <c r="D11" s="118" t="s">
        <v>20</v>
      </c>
      <c r="E11" s="118"/>
      <c r="G11" s="115" t="str">
        <f t="shared" si="16"/>
        <v/>
      </c>
      <c r="H11" s="119" t="str">
        <f t="shared" si="17"/>
        <v/>
      </c>
      <c r="I11" s="113" t="s">
        <v>64</v>
      </c>
      <c r="J11" s="118"/>
      <c r="L11" s="120"/>
      <c r="M11" s="120"/>
      <c r="N11" s="122"/>
      <c r="O11" s="122"/>
      <c r="P11" s="120"/>
      <c r="Q11" s="120"/>
    </row>
    <row r="12" s="115" customFormat="1" outlineLevel="1">
      <c r="A12" s="116" t="s">
        <v>89</v>
      </c>
      <c r="B12" s="117" t="s">
        <v>269</v>
      </c>
      <c r="C12" s="118" t="s">
        <v>7</v>
      </c>
      <c r="D12" s="118" t="s">
        <v>20</v>
      </c>
      <c r="E12" s="118"/>
      <c r="G12" s="115" t="str">
        <f t="shared" ref="G12:G13" si="18">IF(E12="","",E12*F12)</f>
        <v/>
      </c>
      <c r="H12" s="119" t="str">
        <f t="shared" si="17"/>
        <v/>
      </c>
      <c r="I12" s="113" t="s">
        <v>64</v>
      </c>
      <c r="J12" s="118"/>
      <c r="L12" s="120"/>
      <c r="M12" s="120"/>
      <c r="N12" s="120"/>
      <c r="O12" s="122"/>
      <c r="P12" s="120"/>
      <c r="Q12" s="120"/>
    </row>
    <row r="13" s="115" customFormat="1" outlineLevel="1">
      <c r="A13" s="116" t="s">
        <v>91</v>
      </c>
      <c r="B13" s="117" t="s">
        <v>270</v>
      </c>
      <c r="C13" s="118" t="s">
        <v>7</v>
      </c>
      <c r="D13" s="118" t="s">
        <v>20</v>
      </c>
      <c r="E13" s="118"/>
      <c r="G13" s="115" t="str">
        <f t="shared" si="18"/>
        <v/>
      </c>
      <c r="H13" s="119" t="str">
        <f t="shared" si="17"/>
        <v/>
      </c>
      <c r="I13" s="113" t="s">
        <v>64</v>
      </c>
      <c r="J13" s="118"/>
      <c r="L13" s="120"/>
      <c r="M13" s="120"/>
      <c r="N13" s="120"/>
      <c r="O13" s="120"/>
      <c r="P13" s="120"/>
      <c r="Q13" s="120"/>
    </row>
    <row r="14" s="105" customFormat="1" ht="42.75" outlineLevel="1">
      <c r="A14" s="123" t="s">
        <v>94</v>
      </c>
      <c r="B14" s="124" t="s">
        <v>92</v>
      </c>
      <c r="C14" s="125" t="s">
        <v>10</v>
      </c>
      <c r="D14" s="125" t="s">
        <v>18</v>
      </c>
      <c r="E14" s="125">
        <v>5</v>
      </c>
      <c r="F14" s="105">
        <v>10</v>
      </c>
      <c r="G14" s="105">
        <f t="shared" si="16"/>
        <v>50</v>
      </c>
      <c r="H14" s="126">
        <f t="shared" si="17"/>
        <v>3.2679738562091507</v>
      </c>
      <c r="I14" s="113"/>
      <c r="J14" s="125">
        <f>IF(I14=512,0,IF(AND(I14&lt;1024,I14&gt;512),5*5,IF(I14&gt;=1024,10*5,0)))</f>
        <v>0</v>
      </c>
      <c r="K14" s="124" t="s">
        <v>271</v>
      </c>
      <c r="L14" s="109"/>
      <c r="M14" s="109"/>
      <c r="N14" s="109"/>
      <c r="O14" s="109"/>
      <c r="P14" s="109"/>
      <c r="Q14" s="109"/>
    </row>
    <row r="15" s="105" customFormat="1" ht="28.5" outlineLevel="1">
      <c r="A15" s="123" t="s">
        <v>96</v>
      </c>
      <c r="B15" s="124" t="s">
        <v>95</v>
      </c>
      <c r="C15" s="125" t="s">
        <v>10</v>
      </c>
      <c r="D15" s="125" t="s">
        <v>20</v>
      </c>
      <c r="E15" s="125">
        <v>1</v>
      </c>
      <c r="F15" s="105">
        <v>10</v>
      </c>
      <c r="G15" s="105">
        <f>IF(E15="","",E15*F15)</f>
        <v>10</v>
      </c>
      <c r="H15" s="126">
        <f t="shared" si="17"/>
        <v>0.65359477124183007</v>
      </c>
      <c r="I15" s="113" t="s">
        <v>64</v>
      </c>
      <c r="J15" s="125">
        <f>IF(I15="ja",10,0)</f>
        <v>0</v>
      </c>
      <c r="K15" s="124" t="s">
        <v>65</v>
      </c>
      <c r="L15" s="109"/>
      <c r="M15" s="109"/>
      <c r="N15" s="109"/>
      <c r="O15" s="109"/>
      <c r="P15" s="109"/>
      <c r="Q15" s="109"/>
    </row>
    <row r="16" s="115" customFormat="1" ht="42.75" outlineLevel="1">
      <c r="A16" s="116" t="s">
        <v>98</v>
      </c>
      <c r="B16" s="117" t="s">
        <v>97</v>
      </c>
      <c r="C16" s="118" t="s">
        <v>7</v>
      </c>
      <c r="D16" s="118" t="s">
        <v>20</v>
      </c>
      <c r="E16" s="118"/>
      <c r="G16" s="115" t="str">
        <f t="shared" si="16"/>
        <v/>
      </c>
      <c r="H16" s="119" t="str">
        <f t="shared" si="17"/>
        <v/>
      </c>
      <c r="I16" s="113" t="s">
        <v>64</v>
      </c>
      <c r="J16" s="118"/>
      <c r="L16" s="120"/>
      <c r="M16" s="120"/>
      <c r="N16" s="120"/>
      <c r="O16" s="120"/>
      <c r="P16" s="120"/>
      <c r="Q16" s="120"/>
    </row>
    <row r="17" s="115" customFormat="1" ht="19.5" customHeight="1" outlineLevel="1">
      <c r="A17" s="116" t="s">
        <v>100</v>
      </c>
      <c r="B17" s="117" t="s">
        <v>99</v>
      </c>
      <c r="C17" s="118" t="s">
        <v>7</v>
      </c>
      <c r="D17" s="118" t="s">
        <v>20</v>
      </c>
      <c r="E17" s="118"/>
      <c r="G17" s="115" t="str">
        <f>IF(E17="","",E17*F17)</f>
        <v/>
      </c>
      <c r="H17" s="119" t="str">
        <f t="shared" si="17"/>
        <v/>
      </c>
      <c r="I17" s="113" t="s">
        <v>64</v>
      </c>
      <c r="J17" s="118"/>
    </row>
    <row r="18" s="115" customFormat="1" ht="42.75" outlineLevel="1">
      <c r="A18" s="116" t="s">
        <v>272</v>
      </c>
      <c r="B18" s="117" t="s">
        <v>273</v>
      </c>
      <c r="C18" s="118" t="s">
        <v>7</v>
      </c>
      <c r="D18" s="118" t="s">
        <v>20</v>
      </c>
      <c r="E18" s="118"/>
      <c r="F18" s="115"/>
      <c r="G18" s="115"/>
      <c r="H18" s="119"/>
      <c r="I18" s="113" t="s">
        <v>64</v>
      </c>
      <c r="J18" s="118">
        <f>IF(I18="ja",20,0)</f>
        <v>0</v>
      </c>
      <c r="K18" s="117"/>
    </row>
    <row r="19" s="54" customFormat="1" ht="13.9">
      <c r="A19" s="97" t="s">
        <v>102</v>
      </c>
      <c r="B19" s="98" t="s">
        <v>103</v>
      </c>
      <c r="C19" s="99"/>
      <c r="D19" s="99"/>
      <c r="E19" s="127"/>
      <c r="F19" s="101"/>
      <c r="G19" s="101"/>
      <c r="H19" s="102">
        <f>SUM(H20:H25)</f>
        <v>3.9215686274509807</v>
      </c>
      <c r="I19" s="99"/>
      <c r="J19" s="99"/>
      <c r="K19" s="103"/>
    </row>
    <row r="20" s="54" customFormat="1" outlineLevel="1">
      <c r="A20" s="67" t="s">
        <v>104</v>
      </c>
      <c r="B20" s="68" t="s">
        <v>105</v>
      </c>
      <c r="C20" s="69" t="s">
        <v>7</v>
      </c>
      <c r="D20" s="69" t="s">
        <v>20</v>
      </c>
      <c r="E20" s="69"/>
      <c r="G20" s="54" t="str">
        <f t="shared" ref="G20:G76" si="19">IF(E20="","",E20*F20)</f>
        <v/>
      </c>
      <c r="H20" s="70" t="str">
        <f t="shared" ref="H20:H28" si="20">IF(E20="","",100/$G$106*G20)</f>
        <v/>
      </c>
      <c r="I20" s="128" t="s">
        <v>64</v>
      </c>
      <c r="J20" s="71"/>
    </row>
    <row r="21" s="105" customFormat="1" ht="28.5" outlineLevel="1">
      <c r="A21" s="123" t="s">
        <v>106</v>
      </c>
      <c r="B21" s="124" t="s">
        <v>107</v>
      </c>
      <c r="C21" s="125" t="s">
        <v>10</v>
      </c>
      <c r="D21" s="125" t="s">
        <v>20</v>
      </c>
      <c r="E21" s="125">
        <v>3</v>
      </c>
      <c r="F21" s="105">
        <v>10</v>
      </c>
      <c r="G21" s="105">
        <f t="shared" si="19"/>
        <v>30</v>
      </c>
      <c r="H21" s="126">
        <f t="shared" si="20"/>
        <v>1.9607843137254903</v>
      </c>
      <c r="I21" s="128" t="s">
        <v>64</v>
      </c>
      <c r="J21" s="125">
        <f>IF(I21="ja",30,0)</f>
        <v>0</v>
      </c>
      <c r="K21" s="124" t="s">
        <v>65</v>
      </c>
    </row>
    <row r="22" s="54" customFormat="1" outlineLevel="1">
      <c r="A22" s="67" t="s">
        <v>108</v>
      </c>
      <c r="B22" s="68" t="s">
        <v>109</v>
      </c>
      <c r="C22" s="69" t="s">
        <v>7</v>
      </c>
      <c r="D22" s="69" t="s">
        <v>20</v>
      </c>
      <c r="E22" s="69"/>
      <c r="G22" s="54" t="str">
        <f t="shared" si="19"/>
        <v/>
      </c>
      <c r="H22" s="70" t="str">
        <f t="shared" si="20"/>
        <v/>
      </c>
      <c r="I22" s="128" t="s">
        <v>64</v>
      </c>
      <c r="J22" s="71"/>
    </row>
    <row r="23" s="105" customFormat="1" ht="28.5" outlineLevel="1">
      <c r="A23" s="123" t="s">
        <v>110</v>
      </c>
      <c r="B23" s="124" t="s">
        <v>111</v>
      </c>
      <c r="C23" s="125" t="s">
        <v>10</v>
      </c>
      <c r="D23" s="125" t="s">
        <v>20</v>
      </c>
      <c r="E23" s="125">
        <v>3</v>
      </c>
      <c r="F23" s="105">
        <v>10</v>
      </c>
      <c r="G23" s="105">
        <f t="shared" si="19"/>
        <v>30</v>
      </c>
      <c r="H23" s="126">
        <f t="shared" si="20"/>
        <v>1.9607843137254903</v>
      </c>
      <c r="I23" s="128" t="s">
        <v>64</v>
      </c>
      <c r="J23" s="125">
        <f>IF(I23="ja",30,0)</f>
        <v>0</v>
      </c>
      <c r="K23" s="124" t="s">
        <v>65</v>
      </c>
    </row>
    <row r="24" s="54" customFormat="1" outlineLevel="1">
      <c r="A24" s="67" t="s">
        <v>112</v>
      </c>
      <c r="B24" s="129" t="s">
        <v>113</v>
      </c>
      <c r="C24" s="69" t="s">
        <v>7</v>
      </c>
      <c r="D24" s="69" t="s">
        <v>20</v>
      </c>
      <c r="E24" s="69"/>
      <c r="G24" s="54" t="str">
        <f t="shared" si="19"/>
        <v/>
      </c>
      <c r="H24" s="70" t="str">
        <f t="shared" si="20"/>
        <v/>
      </c>
      <c r="I24" s="128" t="s">
        <v>64</v>
      </c>
      <c r="J24" s="71"/>
    </row>
    <row r="25" s="115" customFormat="1" outlineLevel="1">
      <c r="A25" s="116" t="s">
        <v>114</v>
      </c>
      <c r="B25" s="117" t="s">
        <v>115</v>
      </c>
      <c r="C25" s="118" t="s">
        <v>7</v>
      </c>
      <c r="D25" s="118" t="s">
        <v>20</v>
      </c>
      <c r="E25" s="118"/>
      <c r="G25" s="115" t="str">
        <f t="shared" si="19"/>
        <v/>
      </c>
      <c r="H25" s="119" t="str">
        <f t="shared" si="20"/>
        <v/>
      </c>
      <c r="I25" s="128" t="s">
        <v>64</v>
      </c>
      <c r="J25" s="118"/>
    </row>
    <row r="26" s="54" customFormat="1" ht="21.75" customHeight="1">
      <c r="A26" s="62" t="s">
        <v>116</v>
      </c>
      <c r="B26" s="63" t="s">
        <v>117</v>
      </c>
      <c r="C26" s="63"/>
      <c r="D26" s="63"/>
      <c r="E26" s="63"/>
      <c r="F26" s="63"/>
      <c r="G26" s="63"/>
      <c r="H26" s="64">
        <v>0</v>
      </c>
      <c r="I26" s="65"/>
      <c r="J26" s="63"/>
      <c r="K26" s="63"/>
    </row>
    <row r="27" s="54" customFormat="1" ht="71.25" outlineLevel="1">
      <c r="A27" s="67" t="s">
        <v>118</v>
      </c>
      <c r="B27" s="68" t="s">
        <v>119</v>
      </c>
      <c r="C27" s="69" t="s">
        <v>7</v>
      </c>
      <c r="D27" s="69" t="s">
        <v>20</v>
      </c>
      <c r="E27" s="69"/>
      <c r="G27" s="54" t="str">
        <f t="shared" si="19"/>
        <v/>
      </c>
      <c r="H27" s="70" t="str">
        <f t="shared" si="20"/>
        <v/>
      </c>
      <c r="I27" s="71" t="s">
        <v>64</v>
      </c>
      <c r="J27" s="71"/>
    </row>
    <row r="28" s="115" customFormat="1" ht="42.75" outlineLevel="1">
      <c r="A28" s="116" t="s">
        <v>120</v>
      </c>
      <c r="B28" s="117" t="s">
        <v>121</v>
      </c>
      <c r="C28" s="118" t="s">
        <v>7</v>
      </c>
      <c r="D28" s="118" t="s">
        <v>20</v>
      </c>
      <c r="E28" s="118"/>
      <c r="G28" s="115" t="str">
        <f t="shared" si="19"/>
        <v/>
      </c>
      <c r="H28" s="119" t="str">
        <f t="shared" si="20"/>
        <v/>
      </c>
      <c r="I28" s="128" t="s">
        <v>64</v>
      </c>
      <c r="J28" s="118"/>
    </row>
    <row r="29" s="54" customFormat="1" ht="13.9">
      <c r="A29" s="62" t="s">
        <v>122</v>
      </c>
      <c r="B29" s="63" t="s">
        <v>274</v>
      </c>
      <c r="C29" s="63"/>
      <c r="D29" s="63"/>
      <c r="E29" s="63"/>
      <c r="F29" s="63"/>
      <c r="G29" s="63"/>
      <c r="H29" s="102">
        <f>SUM(H30:H30)</f>
        <v>0</v>
      </c>
      <c r="I29" s="65"/>
      <c r="J29" s="63"/>
      <c r="K29" s="63"/>
    </row>
    <row r="30" s="138" customFormat="1" outlineLevel="1">
      <c r="A30" s="116" t="s">
        <v>124</v>
      </c>
      <c r="B30" s="146" t="s">
        <v>275</v>
      </c>
      <c r="C30" s="118" t="s">
        <v>7</v>
      </c>
      <c r="D30" s="118" t="s">
        <v>20</v>
      </c>
      <c r="E30" s="118"/>
      <c r="F30" s="115"/>
      <c r="G30" s="115" t="str">
        <f t="shared" si="19"/>
        <v/>
      </c>
      <c r="H30" s="119" t="str">
        <f>IF(E30="","",100/$G$106*G30)</f>
        <v/>
      </c>
      <c r="I30" s="128" t="s">
        <v>64</v>
      </c>
      <c r="J30" s="118"/>
      <c r="K30" s="117"/>
      <c r="L30" s="115"/>
      <c r="M30" s="115"/>
      <c r="N30" s="115"/>
    </row>
    <row r="31" ht="28.350000000000001" customHeight="1">
      <c r="A31" s="131" t="s">
        <v>126</v>
      </c>
      <c r="B31" s="132" t="s">
        <v>127</v>
      </c>
      <c r="C31" s="133"/>
      <c r="D31" s="133"/>
      <c r="E31" s="58"/>
      <c r="F31" s="134"/>
      <c r="G31" s="134"/>
      <c r="H31" s="60">
        <f>H32+H41+H51</f>
        <v>26.797385620915037</v>
      </c>
      <c r="I31" s="135"/>
      <c r="J31" s="136"/>
      <c r="K31" s="59"/>
      <c r="L31" s="67"/>
      <c r="M31" s="54"/>
      <c r="N31" s="54"/>
    </row>
    <row r="32" ht="13.9">
      <c r="A32" s="62" t="s">
        <v>128</v>
      </c>
      <c r="B32" s="63" t="s">
        <v>129</v>
      </c>
      <c r="C32" s="63"/>
      <c r="D32" s="63"/>
      <c r="E32" s="63"/>
      <c r="F32" s="63"/>
      <c r="G32" s="63"/>
      <c r="H32" s="64">
        <f>SUM(H33:H40)</f>
        <v>20.261437908496735</v>
      </c>
      <c r="I32" s="65"/>
      <c r="J32" s="63"/>
      <c r="K32" s="63"/>
      <c r="L32" s="54"/>
      <c r="M32" s="54"/>
      <c r="N32" s="54"/>
    </row>
    <row r="33" s="54" customFormat="1" ht="13.9" outlineLevel="1">
      <c r="A33" s="67" t="s">
        <v>130</v>
      </c>
      <c r="B33" s="68" t="s">
        <v>276</v>
      </c>
      <c r="C33" s="69" t="s">
        <v>7</v>
      </c>
      <c r="D33" s="69" t="s">
        <v>20</v>
      </c>
      <c r="E33" s="69"/>
      <c r="G33" s="54" t="str">
        <f t="shared" si="19"/>
        <v/>
      </c>
      <c r="H33" s="70" t="str">
        <f t="shared" ref="H33:H40" si="21">IF(E33="","",100/$G$106*G33)</f>
        <v/>
      </c>
      <c r="I33" s="71" t="s">
        <v>64</v>
      </c>
      <c r="J33" s="71"/>
      <c r="M33" s="67"/>
    </row>
    <row r="34" s="115" customFormat="1" outlineLevel="1">
      <c r="A34" s="116" t="s">
        <v>132</v>
      </c>
      <c r="B34" s="117" t="s">
        <v>133</v>
      </c>
      <c r="C34" s="118" t="s">
        <v>7</v>
      </c>
      <c r="D34" s="118" t="s">
        <v>20</v>
      </c>
      <c r="E34" s="118"/>
      <c r="G34" s="115" t="str">
        <f t="shared" si="19"/>
        <v/>
      </c>
      <c r="H34" s="119" t="str">
        <f t="shared" si="21"/>
        <v/>
      </c>
      <c r="I34" s="128" t="s">
        <v>64</v>
      </c>
      <c r="J34" s="118"/>
    </row>
    <row r="35" s="54" customFormat="1" outlineLevel="1">
      <c r="A35" s="67" t="s">
        <v>134</v>
      </c>
      <c r="B35" s="68" t="s">
        <v>135</v>
      </c>
      <c r="C35" s="69" t="s">
        <v>7</v>
      </c>
      <c r="D35" s="69" t="s">
        <v>20</v>
      </c>
      <c r="E35" s="69"/>
      <c r="G35" s="54" t="str">
        <f t="shared" si="19"/>
        <v/>
      </c>
      <c r="H35" s="70" t="str">
        <f t="shared" si="21"/>
        <v/>
      </c>
      <c r="I35" s="71" t="s">
        <v>64</v>
      </c>
      <c r="J35" s="71"/>
    </row>
    <row r="36" s="105" customFormat="1" ht="40.5" customHeight="1" outlineLevel="1">
      <c r="A36" s="123" t="s">
        <v>136</v>
      </c>
      <c r="B36" s="124" t="s">
        <v>137</v>
      </c>
      <c r="C36" s="125" t="s">
        <v>10</v>
      </c>
      <c r="D36" s="125" t="s">
        <v>20</v>
      </c>
      <c r="E36" s="125">
        <v>20</v>
      </c>
      <c r="F36" s="105">
        <v>10</v>
      </c>
      <c r="G36" s="105">
        <f t="shared" si="19"/>
        <v>200</v>
      </c>
      <c r="H36" s="126">
        <f t="shared" si="21"/>
        <v>13.071895424836603</v>
      </c>
      <c r="I36" s="128" t="s">
        <v>64</v>
      </c>
      <c r="J36" s="125">
        <f>IF(I36="ja",200,0)</f>
        <v>0</v>
      </c>
      <c r="K36" s="124" t="s">
        <v>65</v>
      </c>
    </row>
    <row r="37" s="54" customFormat="1" outlineLevel="1">
      <c r="A37" s="67" t="s">
        <v>138</v>
      </c>
      <c r="B37" s="68" t="s">
        <v>139</v>
      </c>
      <c r="C37" s="69" t="s">
        <v>7</v>
      </c>
      <c r="D37" s="69" t="s">
        <v>20</v>
      </c>
      <c r="E37" s="69"/>
      <c r="G37" s="54" t="str">
        <f t="shared" si="19"/>
        <v/>
      </c>
      <c r="H37" s="70" t="str">
        <f t="shared" si="21"/>
        <v/>
      </c>
      <c r="I37" s="128" t="s">
        <v>64</v>
      </c>
      <c r="J37" s="71"/>
      <c r="K37" s="68"/>
    </row>
    <row r="38" s="105" customFormat="1" ht="57" outlineLevel="1">
      <c r="A38" s="123" t="s">
        <v>140</v>
      </c>
      <c r="B38" s="124" t="s">
        <v>141</v>
      </c>
      <c r="C38" s="125" t="s">
        <v>10</v>
      </c>
      <c r="D38" s="125" t="s">
        <v>18</v>
      </c>
      <c r="E38" s="125">
        <v>10</v>
      </c>
      <c r="F38" s="105">
        <v>10</v>
      </c>
      <c r="G38" s="105">
        <f t="shared" si="19"/>
        <v>100</v>
      </c>
      <c r="H38" s="126">
        <f t="shared" si="21"/>
        <v>6.5359477124183014</v>
      </c>
      <c r="I38" s="128"/>
      <c r="J38" s="125">
        <f>IF(I38&gt;=160,100,IF(I38&gt;=120,50,IF(I38&gt;=100,20,0)))</f>
        <v>0</v>
      </c>
      <c r="K38" s="124" t="s">
        <v>142</v>
      </c>
    </row>
    <row r="39" s="105" customFormat="1" ht="42.75" outlineLevel="1">
      <c r="A39" s="123" t="s">
        <v>143</v>
      </c>
      <c r="B39" s="124" t="s">
        <v>144</v>
      </c>
      <c r="C39" s="125" t="s">
        <v>10</v>
      </c>
      <c r="D39" s="125" t="s">
        <v>20</v>
      </c>
      <c r="E39" s="125">
        <v>1</v>
      </c>
      <c r="F39" s="105">
        <v>10</v>
      </c>
      <c r="G39" s="105">
        <f t="shared" si="19"/>
        <v>10</v>
      </c>
      <c r="H39" s="126">
        <f t="shared" si="21"/>
        <v>0.65359477124183007</v>
      </c>
      <c r="I39" s="128"/>
      <c r="J39" s="125">
        <f>IF(I39=100,10,IF(I39&gt;=60,5,0))</f>
        <v>0</v>
      </c>
      <c r="K39" s="137" t="s">
        <v>145</v>
      </c>
    </row>
    <row r="40" s="115" customFormat="1" ht="34.5" customHeight="1" outlineLevel="1">
      <c r="A40" s="116" t="s">
        <v>146</v>
      </c>
      <c r="B40" s="117" t="s">
        <v>149</v>
      </c>
      <c r="C40" s="118" t="s">
        <v>7</v>
      </c>
      <c r="D40" s="118" t="s">
        <v>20</v>
      </c>
      <c r="E40" s="118"/>
      <c r="G40" s="115" t="str">
        <f t="shared" si="19"/>
        <v/>
      </c>
      <c r="H40" s="119" t="str">
        <f t="shared" si="21"/>
        <v/>
      </c>
      <c r="I40" s="128" t="s">
        <v>64</v>
      </c>
      <c r="J40" s="118"/>
    </row>
    <row r="41" s="54" customFormat="1" ht="13.9">
      <c r="A41" s="62" t="s">
        <v>150</v>
      </c>
      <c r="B41" s="63" t="s">
        <v>151</v>
      </c>
      <c r="C41" s="63"/>
      <c r="D41" s="63"/>
      <c r="E41" s="63"/>
      <c r="F41" s="63"/>
      <c r="G41" s="63"/>
      <c r="H41" s="64">
        <f>SUM(H42:H50)</f>
        <v>3.9215686274509807</v>
      </c>
      <c r="I41" s="65"/>
      <c r="J41" s="63"/>
      <c r="K41" s="63"/>
    </row>
    <row r="42" s="54" customFormat="1" ht="28.5" outlineLevel="1">
      <c r="A42" s="67" t="s">
        <v>152</v>
      </c>
      <c r="B42" s="68" t="s">
        <v>277</v>
      </c>
      <c r="C42" s="69" t="s">
        <v>7</v>
      </c>
      <c r="D42" s="69" t="s">
        <v>20</v>
      </c>
      <c r="E42" s="69"/>
      <c r="H42" s="70"/>
      <c r="I42" s="71" t="s">
        <v>64</v>
      </c>
      <c r="J42" s="71"/>
    </row>
    <row r="43" s="54" customFormat="1" outlineLevel="1">
      <c r="A43" s="67" t="s">
        <v>154</v>
      </c>
      <c r="B43" s="68" t="s">
        <v>162</v>
      </c>
      <c r="C43" s="69" t="s">
        <v>12</v>
      </c>
      <c r="D43" s="69" t="s">
        <v>18</v>
      </c>
      <c r="E43" s="69"/>
      <c r="H43" s="70"/>
      <c r="I43" s="71"/>
      <c r="J43" s="71"/>
      <c r="K43" s="68"/>
    </row>
    <row r="44" ht="28.5" outlineLevel="1">
      <c r="A44" s="67" t="s">
        <v>156</v>
      </c>
      <c r="B44" s="68" t="s">
        <v>278</v>
      </c>
      <c r="C44" s="69" t="s">
        <v>7</v>
      </c>
      <c r="D44" s="69" t="s">
        <v>20</v>
      </c>
      <c r="E44" s="69"/>
      <c r="H44" s="70"/>
      <c r="I44" s="71" t="s">
        <v>64</v>
      </c>
      <c r="J44" s="71"/>
      <c r="K44" s="68"/>
    </row>
    <row r="45" s="130" customFormat="1" ht="42.75" outlineLevel="1">
      <c r="A45" s="123" t="s">
        <v>159</v>
      </c>
      <c r="B45" s="124" t="s">
        <v>279</v>
      </c>
      <c r="C45" s="125" t="s">
        <v>10</v>
      </c>
      <c r="D45" s="125" t="s">
        <v>20</v>
      </c>
      <c r="E45" s="125">
        <v>5</v>
      </c>
      <c r="F45" s="105">
        <v>10</v>
      </c>
      <c r="G45" s="105">
        <f t="shared" si="19"/>
        <v>50</v>
      </c>
      <c r="H45" s="126">
        <f>IF(E45="","",100/$G$106*G45)</f>
        <v>3.2679738562091507</v>
      </c>
      <c r="I45" s="128"/>
      <c r="J45" s="125">
        <f>IF(I45&gt;=300,50,IF(I45&gt;=250,25,IF(I45&gt;=200,10,0)))</f>
        <v>0</v>
      </c>
      <c r="K45" s="137" t="s">
        <v>280</v>
      </c>
    </row>
    <row r="46" s="54" customFormat="1" ht="28.5" outlineLevel="1">
      <c r="A46" s="67" t="s">
        <v>161</v>
      </c>
      <c r="B46" s="68" t="s">
        <v>281</v>
      </c>
      <c r="C46" s="69" t="s">
        <v>7</v>
      </c>
      <c r="D46" s="69" t="s">
        <v>20</v>
      </c>
      <c r="E46" s="69"/>
      <c r="H46" s="70"/>
      <c r="I46" s="71" t="s">
        <v>64</v>
      </c>
      <c r="J46" s="71"/>
      <c r="M46" s="67"/>
    </row>
    <row r="47" s="115" customFormat="1" ht="28.5" outlineLevel="1">
      <c r="A47" s="116" t="s">
        <v>163</v>
      </c>
      <c r="B47" s="117" t="s">
        <v>282</v>
      </c>
      <c r="C47" s="118" t="s">
        <v>7</v>
      </c>
      <c r="D47" s="118" t="s">
        <v>20</v>
      </c>
      <c r="E47" s="118"/>
      <c r="H47" s="119"/>
      <c r="I47" s="128" t="s">
        <v>64</v>
      </c>
      <c r="J47" s="118"/>
      <c r="M47" s="116"/>
    </row>
    <row r="48" s="105" customFormat="1" ht="28.5" outlineLevel="1">
      <c r="A48" s="123" t="s">
        <v>165</v>
      </c>
      <c r="B48" s="124" t="s">
        <v>283</v>
      </c>
      <c r="C48" s="125" t="s">
        <v>12</v>
      </c>
      <c r="D48" s="125" t="s">
        <v>18</v>
      </c>
      <c r="E48" s="125"/>
      <c r="H48" s="126"/>
      <c r="I48" s="128"/>
      <c r="J48" s="125"/>
      <c r="M48" s="123"/>
    </row>
    <row r="49" s="130" customFormat="1" ht="28.5" outlineLevel="1">
      <c r="A49" s="123" t="s">
        <v>284</v>
      </c>
      <c r="B49" s="124" t="s">
        <v>285</v>
      </c>
      <c r="C49" s="125" t="s">
        <v>10</v>
      </c>
      <c r="D49" s="125" t="s">
        <v>20</v>
      </c>
      <c r="E49" s="125">
        <v>1</v>
      </c>
      <c r="F49" s="105">
        <v>10</v>
      </c>
      <c r="G49" s="105">
        <f t="shared" si="19"/>
        <v>10</v>
      </c>
      <c r="H49" s="126">
        <f>IF(E49="","",100/$G$106*G49)</f>
        <v>0.65359477124183007</v>
      </c>
      <c r="I49" s="128" t="s">
        <v>64</v>
      </c>
      <c r="J49" s="125"/>
      <c r="K49" s="124" t="s">
        <v>65</v>
      </c>
    </row>
    <row r="50" s="130" customFormat="1" ht="28.5" outlineLevel="1">
      <c r="A50" s="123" t="s">
        <v>286</v>
      </c>
      <c r="B50" s="124" t="s">
        <v>287</v>
      </c>
      <c r="C50" s="125" t="s">
        <v>12</v>
      </c>
      <c r="D50" s="125" t="s">
        <v>18</v>
      </c>
      <c r="E50" s="125"/>
      <c r="F50" s="105"/>
      <c r="G50" s="105"/>
      <c r="H50" s="126"/>
      <c r="I50" s="128"/>
      <c r="J50" s="125"/>
      <c r="K50" s="124"/>
    </row>
    <row r="51" ht="13.9">
      <c r="A51" s="62" t="s">
        <v>167</v>
      </c>
      <c r="B51" s="63" t="s">
        <v>168</v>
      </c>
      <c r="C51" s="63"/>
      <c r="D51" s="63"/>
      <c r="E51" s="63"/>
      <c r="F51" s="63"/>
      <c r="G51" s="63"/>
      <c r="H51" s="64">
        <f>SUM(H52:H60)</f>
        <v>2.6143790849673203</v>
      </c>
      <c r="I51" s="65"/>
      <c r="J51" s="63"/>
      <c r="K51" s="63"/>
    </row>
    <row r="52" s="54" customFormat="1" ht="13.9" outlineLevel="1">
      <c r="A52" s="66" t="s">
        <v>169</v>
      </c>
      <c r="B52" s="54" t="s">
        <v>288</v>
      </c>
      <c r="C52" s="69" t="s">
        <v>7</v>
      </c>
      <c r="D52" s="69" t="s">
        <v>20</v>
      </c>
      <c r="G52" s="54" t="str">
        <f t="shared" si="19"/>
        <v/>
      </c>
      <c r="H52" s="54" t="str">
        <f t="shared" ref="H52:H58" si="22">IF(E52="","",100/$G$106*G52)</f>
        <v/>
      </c>
      <c r="I52" s="170" t="s">
        <v>64</v>
      </c>
      <c r="J52" s="170"/>
    </row>
    <row r="53" s="105" customFormat="1" ht="42.75" outlineLevel="1">
      <c r="A53" s="105" t="s">
        <v>171</v>
      </c>
      <c r="B53" s="105" t="s">
        <v>172</v>
      </c>
      <c r="C53" s="125" t="s">
        <v>10</v>
      </c>
      <c r="D53" s="125" t="s">
        <v>18</v>
      </c>
      <c r="E53" s="105">
        <v>1</v>
      </c>
      <c r="F53" s="105">
        <v>10</v>
      </c>
      <c r="G53" s="105">
        <f t="shared" si="19"/>
        <v>10</v>
      </c>
      <c r="H53" s="126">
        <f t="shared" si="22"/>
        <v>0.65359477124183007</v>
      </c>
      <c r="I53" s="171"/>
      <c r="J53" s="125">
        <f>IF(I53="bitte wählen","",IF(I53&gt;=750,10,IF(I53&gt;500,5,0)))</f>
        <v>0</v>
      </c>
      <c r="K53" s="172" t="s">
        <v>289</v>
      </c>
    </row>
    <row r="54" s="54" customFormat="1" outlineLevel="1">
      <c r="A54" s="54" t="s">
        <v>290</v>
      </c>
      <c r="B54" s="54" t="s">
        <v>291</v>
      </c>
      <c r="C54" s="69" t="s">
        <v>7</v>
      </c>
      <c r="D54" s="69" t="s">
        <v>20</v>
      </c>
      <c r="G54" s="54" t="str">
        <f t="shared" si="19"/>
        <v/>
      </c>
      <c r="H54" s="54" t="str">
        <f t="shared" si="22"/>
        <v/>
      </c>
      <c r="I54" s="173" t="s">
        <v>64</v>
      </c>
      <c r="J54" s="71"/>
      <c r="K54" s="68"/>
    </row>
    <row r="55" s="115" customFormat="1" outlineLevel="1">
      <c r="A55" s="115" t="s">
        <v>292</v>
      </c>
      <c r="B55" s="115" t="s">
        <v>293</v>
      </c>
      <c r="C55" s="118" t="s">
        <v>7</v>
      </c>
      <c r="D55" s="118" t="s">
        <v>20</v>
      </c>
      <c r="G55" s="115" t="str">
        <f t="shared" si="19"/>
        <v/>
      </c>
      <c r="H55" s="115" t="str">
        <f t="shared" si="22"/>
        <v/>
      </c>
      <c r="I55" s="171" t="s">
        <v>64</v>
      </c>
      <c r="J55" s="118"/>
      <c r="K55" s="117"/>
    </row>
    <row r="56" s="54" customFormat="1" outlineLevel="1">
      <c r="A56" s="54" t="s">
        <v>294</v>
      </c>
      <c r="B56" s="54" t="s">
        <v>295</v>
      </c>
      <c r="C56" s="69" t="s">
        <v>7</v>
      </c>
      <c r="D56" s="69" t="s">
        <v>20</v>
      </c>
      <c r="G56" s="54" t="str">
        <f t="shared" si="19"/>
        <v/>
      </c>
      <c r="H56" s="54" t="str">
        <f t="shared" si="22"/>
        <v/>
      </c>
      <c r="I56" s="173" t="s">
        <v>64</v>
      </c>
      <c r="J56" s="71"/>
      <c r="K56" s="68"/>
    </row>
    <row r="57" s="174" customFormat="1" ht="28.5">
      <c r="A57" s="54" t="s">
        <v>296</v>
      </c>
      <c r="B57" s="54" t="s">
        <v>297</v>
      </c>
      <c r="C57" s="69" t="s">
        <v>10</v>
      </c>
      <c r="D57" s="69" t="s">
        <v>20</v>
      </c>
      <c r="E57" s="54">
        <v>3</v>
      </c>
      <c r="F57" s="54">
        <v>10</v>
      </c>
      <c r="G57" s="54">
        <f t="shared" si="19"/>
        <v>30</v>
      </c>
      <c r="H57" s="70">
        <f t="shared" si="22"/>
        <v>1.9607843137254903</v>
      </c>
      <c r="I57" s="173" t="s">
        <v>64</v>
      </c>
      <c r="J57" s="71">
        <f>IF(I57="ja",10,0)</f>
        <v>0</v>
      </c>
      <c r="K57" s="68" t="s">
        <v>65</v>
      </c>
    </row>
    <row r="58" s="174" customFormat="1" ht="13.9">
      <c r="A58" s="54" t="s">
        <v>298</v>
      </c>
      <c r="B58" s="54" t="s">
        <v>299</v>
      </c>
      <c r="C58" s="69" t="s">
        <v>7</v>
      </c>
      <c r="D58" s="69" t="s">
        <v>20</v>
      </c>
      <c r="E58" s="54"/>
      <c r="F58" s="54"/>
      <c r="G58" s="54" t="str">
        <f t="shared" si="19"/>
        <v/>
      </c>
      <c r="H58" s="54" t="str">
        <f t="shared" si="22"/>
        <v/>
      </c>
      <c r="I58" s="173" t="s">
        <v>64</v>
      </c>
      <c r="J58" s="71"/>
      <c r="K58" s="68"/>
    </row>
    <row r="59" s="175" customFormat="1" ht="13.9">
      <c r="A59" s="176" t="s">
        <v>300</v>
      </c>
      <c r="B59" s="115" t="s">
        <v>301</v>
      </c>
      <c r="C59" s="118" t="s">
        <v>7</v>
      </c>
      <c r="D59" s="118" t="s">
        <v>20</v>
      </c>
      <c r="E59" s="115"/>
      <c r="F59" s="115"/>
      <c r="G59" s="115" t="str">
        <f t="shared" si="19"/>
        <v/>
      </c>
      <c r="H59" s="115" t="str">
        <f>IF(E59="","",100/#REF!*G59)</f>
        <v/>
      </c>
      <c r="I59" s="171" t="s">
        <v>64</v>
      </c>
      <c r="J59" s="118"/>
      <c r="K59" s="117"/>
    </row>
    <row r="60" s="174" customFormat="1" ht="27.5" customHeight="1">
      <c r="A60" s="81" t="s">
        <v>302</v>
      </c>
      <c r="B60" s="54" t="s">
        <v>303</v>
      </c>
      <c r="C60" s="69" t="s">
        <v>7</v>
      </c>
      <c r="D60" s="69" t="s">
        <v>20</v>
      </c>
      <c r="E60" s="54"/>
      <c r="F60" s="54"/>
      <c r="G60" s="54" t="str">
        <f t="shared" si="19"/>
        <v/>
      </c>
      <c r="H60" s="54" t="str">
        <f>IF(E60="","",100/#REF!*G60)</f>
        <v/>
      </c>
      <c r="I60" s="173" t="s">
        <v>64</v>
      </c>
      <c r="J60" s="71"/>
      <c r="K60" s="68"/>
    </row>
    <row r="61" s="54" customFormat="1" ht="28.350000000000001" customHeight="1">
      <c r="A61" s="131" t="s">
        <v>174</v>
      </c>
      <c r="B61" s="132" t="s">
        <v>175</v>
      </c>
      <c r="C61" s="133"/>
      <c r="D61" s="133"/>
      <c r="E61" s="58"/>
      <c r="F61" s="134"/>
      <c r="G61" s="134"/>
      <c r="H61" s="60">
        <f>H62+H66</f>
        <v>6.5359477124183014</v>
      </c>
      <c r="I61" s="135"/>
      <c r="J61" s="136"/>
      <c r="K61" s="59"/>
    </row>
    <row r="62" s="54" customFormat="1" ht="13.9">
      <c r="A62" s="62" t="s">
        <v>176</v>
      </c>
      <c r="B62" s="63" t="s">
        <v>177</v>
      </c>
      <c r="C62" s="63"/>
      <c r="D62" s="63"/>
      <c r="E62" s="63"/>
      <c r="F62" s="63"/>
      <c r="G62" s="63"/>
      <c r="H62" s="64">
        <v>0</v>
      </c>
      <c r="I62" s="65"/>
      <c r="J62" s="63"/>
      <c r="K62" s="63"/>
    </row>
    <row r="63" s="54" customFormat="1" ht="28.5" outlineLevel="1">
      <c r="A63" s="67" t="s">
        <v>178</v>
      </c>
      <c r="B63" s="129" t="s">
        <v>179</v>
      </c>
      <c r="C63" s="69" t="s">
        <v>7</v>
      </c>
      <c r="D63" s="69" t="s">
        <v>20</v>
      </c>
      <c r="E63" s="69"/>
      <c r="G63" s="54" t="str">
        <f t="shared" si="19"/>
        <v/>
      </c>
      <c r="H63" s="70" t="str">
        <f t="shared" ref="H63:H65" si="23">IF(E63="","",100/$G$106*G63)</f>
        <v/>
      </c>
      <c r="I63" s="71" t="s">
        <v>64</v>
      </c>
      <c r="J63" s="71"/>
    </row>
    <row r="64" s="54" customFormat="1" ht="57" outlineLevel="1">
      <c r="A64" s="67" t="s">
        <v>180</v>
      </c>
      <c r="B64" s="129" t="s">
        <v>181</v>
      </c>
      <c r="C64" s="69" t="s">
        <v>12</v>
      </c>
      <c r="D64" s="69" t="s">
        <v>20</v>
      </c>
      <c r="E64" s="69"/>
      <c r="G64" s="54" t="str">
        <f t="shared" si="19"/>
        <v/>
      </c>
      <c r="H64" s="70" t="str">
        <f t="shared" si="23"/>
        <v/>
      </c>
      <c r="I64" s="71" t="s">
        <v>64</v>
      </c>
      <c r="J64" s="71"/>
      <c r="K64" s="68" t="s">
        <v>182</v>
      </c>
    </row>
    <row r="65" s="105" customFormat="1" ht="40.5" outlineLevel="1">
      <c r="A65" s="123" t="s">
        <v>183</v>
      </c>
      <c r="B65" s="107" t="s">
        <v>184</v>
      </c>
      <c r="C65" s="125" t="s">
        <v>12</v>
      </c>
      <c r="D65" s="125" t="s">
        <v>20</v>
      </c>
      <c r="E65" s="125"/>
      <c r="G65" s="105" t="str">
        <f t="shared" si="19"/>
        <v/>
      </c>
      <c r="H65" s="126" t="str">
        <f t="shared" si="23"/>
        <v/>
      </c>
      <c r="I65" s="128" t="s">
        <v>64</v>
      </c>
      <c r="J65" s="125"/>
      <c r="K65" s="124" t="s">
        <v>185</v>
      </c>
    </row>
    <row r="66" s="54" customFormat="1" ht="13.9">
      <c r="A66" s="62" t="s">
        <v>186</v>
      </c>
      <c r="B66" s="63" t="s">
        <v>187</v>
      </c>
      <c r="C66" s="63"/>
      <c r="D66" s="63"/>
      <c r="E66" s="63"/>
      <c r="F66" s="63"/>
      <c r="G66" s="63"/>
      <c r="H66" s="64">
        <f>SUM(H67:H69)</f>
        <v>6.5359477124183014</v>
      </c>
      <c r="I66" s="65"/>
      <c r="J66" s="63"/>
      <c r="K66" s="63"/>
    </row>
    <row r="67" s="115" customFormat="1" outlineLevel="1">
      <c r="A67" s="116" t="s">
        <v>188</v>
      </c>
      <c r="B67" s="117" t="s">
        <v>189</v>
      </c>
      <c r="C67" s="118" t="s">
        <v>7</v>
      </c>
      <c r="D67" s="118" t="s">
        <v>20</v>
      </c>
      <c r="E67" s="118"/>
      <c r="G67" s="115" t="str">
        <f t="shared" si="19"/>
        <v/>
      </c>
      <c r="H67" s="119" t="str">
        <f t="shared" ref="H67:H69" si="24">IF(E67="","",100/$G$106*G67)</f>
        <v/>
      </c>
      <c r="I67" s="128" t="s">
        <v>64</v>
      </c>
      <c r="J67" s="118"/>
    </row>
    <row r="68" s="115" customFormat="1" ht="27" outlineLevel="1">
      <c r="A68" s="116" t="s">
        <v>190</v>
      </c>
      <c r="B68" s="117" t="s">
        <v>191</v>
      </c>
      <c r="C68" s="118" t="s">
        <v>7</v>
      </c>
      <c r="D68" s="118" t="s">
        <v>20</v>
      </c>
      <c r="E68" s="118"/>
      <c r="G68" s="115" t="str">
        <f t="shared" si="19"/>
        <v/>
      </c>
      <c r="H68" s="119" t="str">
        <f t="shared" si="24"/>
        <v/>
      </c>
      <c r="I68" s="128" t="s">
        <v>64</v>
      </c>
      <c r="J68" s="118">
        <f t="shared" ref="J68:J69" si="25">IF(I68="ja",300,0)</f>
        <v>0</v>
      </c>
      <c r="K68" s="117"/>
    </row>
    <row r="69" s="105" customFormat="1" ht="27" outlineLevel="1">
      <c r="A69" s="123" t="s">
        <v>304</v>
      </c>
      <c r="B69" s="124" t="s">
        <v>305</v>
      </c>
      <c r="C69" s="125" t="s">
        <v>10</v>
      </c>
      <c r="D69" s="125" t="s">
        <v>20</v>
      </c>
      <c r="E69" s="125">
        <v>10</v>
      </c>
      <c r="F69" s="105">
        <v>10</v>
      </c>
      <c r="G69" s="105">
        <f t="shared" si="19"/>
        <v>100</v>
      </c>
      <c r="H69" s="126">
        <f t="shared" si="24"/>
        <v>6.5359477124183014</v>
      </c>
      <c r="I69" s="128" t="s">
        <v>64</v>
      </c>
      <c r="J69" s="125">
        <f t="shared" si="25"/>
        <v>0</v>
      </c>
      <c r="K69" s="124" t="s">
        <v>65</v>
      </c>
    </row>
    <row r="70" s="54" customFormat="1" ht="28.350000000000001" customHeight="1">
      <c r="A70" s="55" t="s">
        <v>192</v>
      </c>
      <c r="B70" s="56" t="s">
        <v>59</v>
      </c>
      <c r="C70" s="57"/>
      <c r="D70" s="57"/>
      <c r="E70" s="58"/>
      <c r="F70" s="59"/>
      <c r="G70" s="59"/>
      <c r="H70" s="60">
        <f>H71+H75</f>
        <v>13.071895424836603</v>
      </c>
      <c r="I70" s="57"/>
      <c r="J70" s="57"/>
      <c r="K70" s="61"/>
    </row>
    <row r="71" s="54" customFormat="1" ht="13.9">
      <c r="A71" s="62" t="s">
        <v>193</v>
      </c>
      <c r="B71" s="63" t="s">
        <v>61</v>
      </c>
      <c r="C71" s="63"/>
      <c r="D71" s="63"/>
      <c r="E71" s="63"/>
      <c r="F71" s="63"/>
      <c r="G71" s="63"/>
      <c r="H71" s="64">
        <f>SUM(H72:H74)</f>
        <v>6.5359477124183014</v>
      </c>
      <c r="I71" s="65"/>
      <c r="J71" s="63"/>
      <c r="K71" s="63"/>
    </row>
    <row r="72" ht="94.5" outlineLevel="1">
      <c r="A72" s="67" t="s">
        <v>194</v>
      </c>
      <c r="B72" s="117" t="s">
        <v>195</v>
      </c>
      <c r="C72" s="69" t="s">
        <v>7</v>
      </c>
      <c r="D72" s="69" t="s">
        <v>20</v>
      </c>
      <c r="E72" s="69"/>
      <c r="G72" s="54" t="str">
        <f t="shared" si="19"/>
        <v/>
      </c>
      <c r="H72" s="70" t="str">
        <f t="shared" ref="H72:H74" si="26">IF(E72="","",100/$G$106*G72)</f>
        <v/>
      </c>
      <c r="I72" s="71" t="s">
        <v>64</v>
      </c>
      <c r="J72" s="71"/>
      <c r="K72" s="54"/>
    </row>
    <row r="73" s="138" customFormat="1" ht="67.5" outlineLevel="1">
      <c r="A73" s="116" t="s">
        <v>196</v>
      </c>
      <c r="B73" s="117" t="s">
        <v>306</v>
      </c>
      <c r="C73" s="118" t="s">
        <v>7</v>
      </c>
      <c r="D73" s="118" t="s">
        <v>20</v>
      </c>
      <c r="E73" s="118"/>
      <c r="F73" s="115"/>
      <c r="G73" s="115" t="str">
        <f t="shared" si="19"/>
        <v/>
      </c>
      <c r="H73" s="119" t="str">
        <f t="shared" si="26"/>
        <v/>
      </c>
      <c r="I73" s="128" t="s">
        <v>64</v>
      </c>
      <c r="J73" s="118"/>
      <c r="K73" s="115"/>
    </row>
    <row r="74" s="130" customFormat="1" ht="67.5" outlineLevel="1">
      <c r="A74" s="123" t="s">
        <v>198</v>
      </c>
      <c r="B74" s="124" t="s">
        <v>199</v>
      </c>
      <c r="C74" s="125" t="s">
        <v>10</v>
      </c>
      <c r="D74" s="125" t="s">
        <v>20</v>
      </c>
      <c r="E74" s="125">
        <v>10</v>
      </c>
      <c r="F74" s="105">
        <v>10</v>
      </c>
      <c r="G74" s="105">
        <f t="shared" si="19"/>
        <v>100</v>
      </c>
      <c r="H74" s="126">
        <f t="shared" si="26"/>
        <v>6.5359477124183014</v>
      </c>
      <c r="I74" s="128" t="s">
        <v>64</v>
      </c>
      <c r="J74" s="125">
        <f>IF(I74="ja",100,0)</f>
        <v>0</v>
      </c>
      <c r="K74" s="124" t="s">
        <v>65</v>
      </c>
    </row>
    <row r="75" ht="13.9">
      <c r="A75" s="62" t="s">
        <v>200</v>
      </c>
      <c r="B75" s="63" t="s">
        <v>201</v>
      </c>
      <c r="C75" s="63"/>
      <c r="D75" s="63"/>
      <c r="E75" s="63"/>
      <c r="F75" s="63"/>
      <c r="G75" s="63"/>
      <c r="H75" s="177">
        <f>SUM(H76:H77)</f>
        <v>6.5359477124183014</v>
      </c>
      <c r="I75" s="65"/>
      <c r="J75" s="63"/>
      <c r="K75" s="63"/>
    </row>
    <row r="76" s="130" customFormat="1" ht="54" outlineLevel="1">
      <c r="A76" s="123" t="s">
        <v>202</v>
      </c>
      <c r="B76" s="107" t="s">
        <v>307</v>
      </c>
      <c r="C76" s="125" t="s">
        <v>10</v>
      </c>
      <c r="D76" s="108" t="s">
        <v>20</v>
      </c>
      <c r="E76" s="108">
        <v>10</v>
      </c>
      <c r="F76" s="109">
        <v>10</v>
      </c>
      <c r="G76" s="109">
        <f t="shared" si="19"/>
        <v>100</v>
      </c>
      <c r="H76" s="126">
        <f t="shared" ref="H76:H77" si="27">IF(E76="","",100/$G$106*G76)</f>
        <v>6.5359477124183014</v>
      </c>
      <c r="I76" s="128" t="s">
        <v>64</v>
      </c>
      <c r="J76" s="125">
        <f t="shared" ref="J76:J77" si="28">IF(I76="ja",100,0)</f>
        <v>0</v>
      </c>
      <c r="K76" s="105"/>
    </row>
    <row r="77" s="138" customFormat="1" ht="27" outlineLevel="1">
      <c r="A77" s="116" t="s">
        <v>204</v>
      </c>
      <c r="B77" s="117" t="s">
        <v>205</v>
      </c>
      <c r="C77" s="118" t="s">
        <v>7</v>
      </c>
      <c r="D77" s="118" t="s">
        <v>20</v>
      </c>
      <c r="E77" s="118"/>
      <c r="F77" s="115"/>
      <c r="G77" s="115"/>
      <c r="H77" s="119" t="str">
        <f t="shared" si="27"/>
        <v/>
      </c>
      <c r="I77" s="128" t="s">
        <v>64</v>
      </c>
      <c r="J77" s="118">
        <f t="shared" si="28"/>
        <v>0</v>
      </c>
      <c r="K77" s="117"/>
    </row>
    <row r="78" ht="13.9">
      <c r="A78" s="148" t="s">
        <v>206</v>
      </c>
      <c r="B78" s="149" t="s">
        <v>207</v>
      </c>
      <c r="C78" s="150"/>
      <c r="D78" s="150"/>
      <c r="E78" s="150"/>
      <c r="F78" s="151"/>
      <c r="G78" s="151"/>
      <c r="H78" s="152">
        <f>H79+H100</f>
        <v>45.751633986928098</v>
      </c>
      <c r="I78" s="153"/>
      <c r="J78" s="154"/>
      <c r="K78" s="154"/>
    </row>
    <row r="79" ht="13.9">
      <c r="A79" s="155" t="s">
        <v>208</v>
      </c>
      <c r="B79" s="156" t="s">
        <v>209</v>
      </c>
      <c r="C79" s="157"/>
      <c r="D79" s="157"/>
      <c r="E79" s="157"/>
      <c r="F79" s="103"/>
      <c r="G79" s="103"/>
      <c r="H79" s="158">
        <f>SUM(H80:H98)</f>
        <v>45.751633986928098</v>
      </c>
      <c r="I79" s="157"/>
      <c r="J79" s="103"/>
      <c r="K79" s="103"/>
    </row>
    <row r="80" outlineLevel="1">
      <c r="A80" s="67" t="s">
        <v>210</v>
      </c>
      <c r="B80" s="68" t="s">
        <v>211</v>
      </c>
      <c r="C80" s="69" t="s">
        <v>7</v>
      </c>
      <c r="D80" s="69" t="s">
        <v>20</v>
      </c>
      <c r="E80" s="69"/>
      <c r="H80" s="70" t="str">
        <f>IF(E81="","",100/$G$79*G81)</f>
        <v/>
      </c>
      <c r="I80" s="71" t="s">
        <v>64</v>
      </c>
      <c r="J80" s="71"/>
      <c r="K80" s="54"/>
    </row>
    <row r="81" s="138" customFormat="1" outlineLevel="1">
      <c r="A81" s="116" t="s">
        <v>212</v>
      </c>
      <c r="B81" s="117" t="s">
        <v>213</v>
      </c>
      <c r="C81" s="118" t="s">
        <v>7</v>
      </c>
      <c r="D81" s="118" t="s">
        <v>20</v>
      </c>
      <c r="E81" s="118"/>
      <c r="F81" s="115"/>
      <c r="G81" s="115"/>
      <c r="H81" s="119"/>
      <c r="I81" s="128" t="s">
        <v>64</v>
      </c>
      <c r="J81" s="118"/>
      <c r="K81" s="115"/>
    </row>
    <row r="82" s="130" customFormat="1" ht="54" outlineLevel="1">
      <c r="A82" s="123" t="s">
        <v>214</v>
      </c>
      <c r="B82" s="124" t="s">
        <v>215</v>
      </c>
      <c r="C82" s="125" t="s">
        <v>10</v>
      </c>
      <c r="D82" s="125" t="s">
        <v>18</v>
      </c>
      <c r="E82" s="125">
        <v>5</v>
      </c>
      <c r="F82" s="105">
        <v>10</v>
      </c>
      <c r="G82" s="105">
        <v>50</v>
      </c>
      <c r="H82" s="126">
        <f>IF(E82="","",100/$G$106*G82)</f>
        <v>3.2679738562091507</v>
      </c>
      <c r="I82" s="128"/>
      <c r="J82" s="125">
        <f>IF(I82&gt;=100,50,IF(I82&gt;=75,25,IF(I82&gt;50,10,0)))</f>
        <v>0</v>
      </c>
      <c r="K82" s="124" t="s">
        <v>216</v>
      </c>
    </row>
    <row r="83" s="138" customFormat="1" outlineLevel="1">
      <c r="A83" s="116" t="s">
        <v>217</v>
      </c>
      <c r="B83" s="117" t="s">
        <v>218</v>
      </c>
      <c r="C83" s="118" t="s">
        <v>7</v>
      </c>
      <c r="D83" s="118" t="s">
        <v>20</v>
      </c>
      <c r="E83" s="118"/>
      <c r="F83" s="115"/>
      <c r="G83" s="115"/>
      <c r="H83" s="119"/>
      <c r="I83" s="128" t="s">
        <v>64</v>
      </c>
      <c r="J83" s="118"/>
      <c r="K83" s="115"/>
    </row>
    <row r="84" s="130" customFormat="1" ht="40.5" outlineLevel="1">
      <c r="A84" s="123" t="s">
        <v>219</v>
      </c>
      <c r="B84" s="124" t="s">
        <v>220</v>
      </c>
      <c r="C84" s="125" t="s">
        <v>10</v>
      </c>
      <c r="D84" s="125" t="s">
        <v>18</v>
      </c>
      <c r="E84" s="125">
        <v>5</v>
      </c>
      <c r="F84" s="105">
        <v>10</v>
      </c>
      <c r="G84" s="105">
        <v>50</v>
      </c>
      <c r="H84" s="126">
        <f>IF(E84="","",100/$G$106*G84)</f>
        <v>3.2679738562091507</v>
      </c>
      <c r="I84" s="128"/>
      <c r="J84" s="125">
        <f>IF(I84&gt;=1200,50,IF(I84&gt;600,25,IF(I84=600,0,0)))</f>
        <v>0</v>
      </c>
      <c r="K84" s="124" t="s">
        <v>308</v>
      </c>
    </row>
    <row r="85" s="138" customFormat="1" outlineLevel="1">
      <c r="A85" s="116" t="s">
        <v>222</v>
      </c>
      <c r="B85" s="117" t="s">
        <v>223</v>
      </c>
      <c r="C85" s="118" t="s">
        <v>7</v>
      </c>
      <c r="D85" s="118" t="s">
        <v>20</v>
      </c>
      <c r="E85" s="118"/>
      <c r="F85" s="115"/>
      <c r="G85" s="115"/>
      <c r="H85" s="119"/>
      <c r="I85" s="128" t="s">
        <v>64</v>
      </c>
      <c r="J85" s="118"/>
      <c r="K85" s="115"/>
    </row>
    <row r="86" s="130" customFormat="1" ht="27" outlineLevel="1">
      <c r="A86" s="123" t="s">
        <v>224</v>
      </c>
      <c r="B86" s="124" t="s">
        <v>225</v>
      </c>
      <c r="C86" s="125" t="s">
        <v>10</v>
      </c>
      <c r="D86" s="125" t="s">
        <v>20</v>
      </c>
      <c r="E86" s="125">
        <v>5</v>
      </c>
      <c r="F86" s="105">
        <v>10</v>
      </c>
      <c r="G86" s="105">
        <v>50</v>
      </c>
      <c r="H86" s="126">
        <f t="shared" ref="H86:H89" si="29">IF(E86="","",100/$G$106*G86)</f>
        <v>3.2679738562091507</v>
      </c>
      <c r="I86" s="128" t="s">
        <v>64</v>
      </c>
      <c r="J86" s="125">
        <f>IF(I86="ja",100,IF(I86="nein",0,0))</f>
        <v>0</v>
      </c>
      <c r="K86" s="124" t="s">
        <v>65</v>
      </c>
    </row>
    <row r="87" s="130" customFormat="1" ht="27" outlineLevel="1">
      <c r="A87" s="123" t="s">
        <v>226</v>
      </c>
      <c r="B87" s="124" t="s">
        <v>227</v>
      </c>
      <c r="C87" s="125" t="s">
        <v>10</v>
      </c>
      <c r="D87" s="125" t="s">
        <v>20</v>
      </c>
      <c r="E87" s="125">
        <v>10</v>
      </c>
      <c r="F87" s="105">
        <v>10</v>
      </c>
      <c r="G87" s="105">
        <v>100</v>
      </c>
      <c r="H87" s="126">
        <f t="shared" si="29"/>
        <v>6.5359477124183014</v>
      </c>
      <c r="I87" s="128" t="s">
        <v>64</v>
      </c>
      <c r="J87" s="125">
        <f>IF(I87="CCD",100,IF(I87="CIS",0,0))</f>
        <v>0</v>
      </c>
      <c r="K87" s="124" t="s">
        <v>228</v>
      </c>
    </row>
    <row r="88" s="130" customFormat="1" ht="67.5" outlineLevel="1">
      <c r="A88" s="123" t="s">
        <v>229</v>
      </c>
      <c r="B88" s="124" t="s">
        <v>230</v>
      </c>
      <c r="C88" s="125" t="s">
        <v>10</v>
      </c>
      <c r="D88" s="125" t="s">
        <v>18</v>
      </c>
      <c r="E88" s="125">
        <v>5</v>
      </c>
      <c r="F88" s="105">
        <v>10</v>
      </c>
      <c r="G88" s="105">
        <v>50</v>
      </c>
      <c r="H88" s="126">
        <f t="shared" si="29"/>
        <v>3.2679738562091507</v>
      </c>
      <c r="I88" s="128"/>
      <c r="J88" s="125">
        <f>IF(I88&gt;=50,50,IF(I88&gt;=40,40,IF(I88&gt;=30,30,IF(I88&gt;20,20,IF(I88=20,0,0)))))</f>
        <v>0</v>
      </c>
      <c r="K88" s="124" t="s">
        <v>231</v>
      </c>
    </row>
    <row r="89" s="130" customFormat="1" ht="67.5" outlineLevel="1">
      <c r="A89" s="123" t="s">
        <v>232</v>
      </c>
      <c r="B89" s="124" t="s">
        <v>233</v>
      </c>
      <c r="C89" s="125" t="s">
        <v>10</v>
      </c>
      <c r="D89" s="125" t="s">
        <v>18</v>
      </c>
      <c r="E89" s="125">
        <v>5</v>
      </c>
      <c r="F89" s="105">
        <v>10</v>
      </c>
      <c r="G89" s="105">
        <v>50</v>
      </c>
      <c r="H89" s="126">
        <f t="shared" si="29"/>
        <v>3.2679738562091507</v>
      </c>
      <c r="I89" s="128"/>
      <c r="J89" s="125">
        <f>IF(I89&gt;=50,50,IF(I89&gt;=40,40,IF(I89&gt;=30,30,IF(I89&gt;20,20,0))))</f>
        <v>0</v>
      </c>
      <c r="K89" s="124" t="s">
        <v>231</v>
      </c>
    </row>
    <row r="90" outlineLevel="1">
      <c r="A90" s="67" t="s">
        <v>234</v>
      </c>
      <c r="B90" s="68" t="s">
        <v>235</v>
      </c>
      <c r="C90" s="69" t="s">
        <v>7</v>
      </c>
      <c r="D90" s="69" t="s">
        <v>20</v>
      </c>
      <c r="E90" s="69"/>
      <c r="H90" s="70" t="str">
        <f t="shared" ref="H90:H91" si="30">IF(E91="","",100/$G$79*G91)</f>
        <v/>
      </c>
      <c r="I90" s="71" t="s">
        <v>64</v>
      </c>
      <c r="J90" s="71"/>
      <c r="K90" s="54"/>
    </row>
    <row r="91" s="138" customFormat="1" outlineLevel="1">
      <c r="A91" s="116" t="s">
        <v>236</v>
      </c>
      <c r="B91" s="117" t="s">
        <v>237</v>
      </c>
      <c r="C91" s="118" t="s">
        <v>7</v>
      </c>
      <c r="D91" s="118" t="s">
        <v>20</v>
      </c>
      <c r="E91" s="118"/>
      <c r="F91" s="115"/>
      <c r="G91" s="115"/>
      <c r="H91" s="119" t="str">
        <f t="shared" si="30"/>
        <v/>
      </c>
      <c r="I91" s="128" t="s">
        <v>64</v>
      </c>
      <c r="J91" s="118"/>
      <c r="K91" s="115"/>
    </row>
    <row r="92" outlineLevel="1">
      <c r="A92" s="67" t="s">
        <v>238</v>
      </c>
      <c r="B92" s="68" t="s">
        <v>239</v>
      </c>
      <c r="C92" s="69" t="s">
        <v>7</v>
      </c>
      <c r="D92" s="69" t="s">
        <v>20</v>
      </c>
      <c r="E92" s="69"/>
      <c r="H92" s="70"/>
      <c r="I92" s="71" t="s">
        <v>64</v>
      </c>
      <c r="J92" s="71"/>
      <c r="K92" s="54"/>
    </row>
    <row r="93" s="130" customFormat="1" ht="27" outlineLevel="1">
      <c r="A93" s="123" t="s">
        <v>240</v>
      </c>
      <c r="B93" s="124" t="s">
        <v>241</v>
      </c>
      <c r="C93" s="125" t="s">
        <v>10</v>
      </c>
      <c r="D93" s="125" t="s">
        <v>20</v>
      </c>
      <c r="E93" s="125">
        <v>5</v>
      </c>
      <c r="F93" s="105">
        <v>10</v>
      </c>
      <c r="G93" s="105">
        <v>50</v>
      </c>
      <c r="H93" s="126">
        <f>IF(E93="","",100/$G$106*G93)</f>
        <v>3.2679738562091507</v>
      </c>
      <c r="I93" s="128" t="s">
        <v>64</v>
      </c>
      <c r="J93" s="125">
        <f>IF(I93="ja",50,IF(I93="nein",0,0))</f>
        <v>0</v>
      </c>
      <c r="K93" s="124" t="s">
        <v>65</v>
      </c>
    </row>
    <row r="94" outlineLevel="1">
      <c r="A94" s="67" t="s">
        <v>242</v>
      </c>
      <c r="B94" s="68" t="s">
        <v>243</v>
      </c>
      <c r="C94" s="69" t="s">
        <v>7</v>
      </c>
      <c r="D94" s="69" t="s">
        <v>20</v>
      </c>
      <c r="E94" s="69"/>
      <c r="H94" s="70"/>
      <c r="I94" s="128" t="s">
        <v>64</v>
      </c>
      <c r="J94" s="71"/>
      <c r="K94" s="54"/>
    </row>
    <row r="95" s="130" customFormat="1" ht="27" outlineLevel="1">
      <c r="A95" s="123" t="s">
        <v>244</v>
      </c>
      <c r="B95" s="124" t="s">
        <v>245</v>
      </c>
      <c r="C95" s="125" t="s">
        <v>10</v>
      </c>
      <c r="D95" s="125" t="s">
        <v>20</v>
      </c>
      <c r="E95" s="125">
        <v>10</v>
      </c>
      <c r="F95" s="105">
        <v>10</v>
      </c>
      <c r="G95" s="105">
        <v>100</v>
      </c>
      <c r="H95" s="126">
        <f>IF(E95="","",100/$G$106*G95)</f>
        <v>6.5359477124183014</v>
      </c>
      <c r="I95" s="128" t="s">
        <v>64</v>
      </c>
      <c r="J95" s="125">
        <f>IF(I95="ja",100,IF(I95="nein",0,0))</f>
        <v>0</v>
      </c>
      <c r="K95" s="124" t="s">
        <v>65</v>
      </c>
    </row>
    <row r="96" ht="27" outlineLevel="1">
      <c r="A96" s="67" t="s">
        <v>246</v>
      </c>
      <c r="B96" s="68" t="s">
        <v>247</v>
      </c>
      <c r="C96" s="69" t="s">
        <v>7</v>
      </c>
      <c r="D96" s="69" t="s">
        <v>20</v>
      </c>
      <c r="E96" s="69"/>
      <c r="H96" s="70"/>
      <c r="I96" s="128" t="s">
        <v>64</v>
      </c>
      <c r="J96" s="71"/>
      <c r="K96" s="54"/>
    </row>
    <row r="97" s="130" customFormat="1" ht="27" outlineLevel="1">
      <c r="A97" s="123" t="s">
        <v>248</v>
      </c>
      <c r="B97" s="124" t="s">
        <v>249</v>
      </c>
      <c r="C97" s="125" t="s">
        <v>10</v>
      </c>
      <c r="D97" s="125" t="s">
        <v>20</v>
      </c>
      <c r="E97" s="125">
        <v>10</v>
      </c>
      <c r="F97" s="105">
        <v>10</v>
      </c>
      <c r="G97" s="105">
        <v>100</v>
      </c>
      <c r="H97" s="126">
        <f t="shared" ref="H97:H98" si="31">IF(E97="","",100/$G$106*G97)</f>
        <v>6.5359477124183014</v>
      </c>
      <c r="I97" s="128" t="s">
        <v>64</v>
      </c>
      <c r="J97" s="125">
        <f>IF(I97="ja",100,IF(I97="nein",0,0))</f>
        <v>0</v>
      </c>
      <c r="K97" s="124" t="s">
        <v>65</v>
      </c>
    </row>
    <row r="98" s="130" customFormat="1" ht="27" outlineLevel="1">
      <c r="A98" s="123" t="s">
        <v>250</v>
      </c>
      <c r="B98" s="124" t="s">
        <v>251</v>
      </c>
      <c r="C98" s="125" t="s">
        <v>10</v>
      </c>
      <c r="D98" s="125" t="s">
        <v>20</v>
      </c>
      <c r="E98" s="125">
        <v>10</v>
      </c>
      <c r="F98" s="105">
        <v>10</v>
      </c>
      <c r="G98" s="105">
        <v>100</v>
      </c>
      <c r="H98" s="126">
        <f t="shared" si="31"/>
        <v>6.5359477124183014</v>
      </c>
      <c r="I98" s="128" t="s">
        <v>64</v>
      </c>
      <c r="J98" s="125">
        <f>IF(I98="ja",150,IF(I98="nein",0,0))</f>
        <v>0</v>
      </c>
      <c r="K98" s="124" t="s">
        <v>65</v>
      </c>
    </row>
    <row r="99" s="138" customFormat="1" outlineLevel="1">
      <c r="A99" s="116" t="s">
        <v>252</v>
      </c>
      <c r="B99" s="117" t="s">
        <v>253</v>
      </c>
      <c r="C99" s="118" t="s">
        <v>7</v>
      </c>
      <c r="D99" s="118" t="s">
        <v>20</v>
      </c>
      <c r="E99" s="118"/>
      <c r="F99" s="115"/>
      <c r="G99" s="115"/>
      <c r="H99" s="119" t="str">
        <f>IF(E100="","",100/$G$79*G100)</f>
        <v/>
      </c>
      <c r="I99" s="128" t="s">
        <v>64</v>
      </c>
      <c r="J99" s="118"/>
      <c r="K99" s="115"/>
    </row>
    <row r="100" ht="13.9">
      <c r="A100" s="155" t="s">
        <v>254</v>
      </c>
      <c r="B100" s="156" t="s">
        <v>255</v>
      </c>
      <c r="C100" s="157"/>
      <c r="D100" s="157"/>
      <c r="E100" s="157"/>
      <c r="F100" s="103"/>
      <c r="G100" s="103"/>
      <c r="H100" s="64">
        <v>0</v>
      </c>
      <c r="I100" s="157"/>
      <c r="J100" s="103"/>
      <c r="K100" s="103"/>
    </row>
    <row r="101" s="138" customFormat="1" ht="13.9" outlineLevel="1">
      <c r="A101" s="116" t="s">
        <v>256</v>
      </c>
      <c r="B101" s="117" t="s">
        <v>309</v>
      </c>
      <c r="C101" s="118" t="s">
        <v>7</v>
      </c>
      <c r="D101" s="118" t="s">
        <v>20</v>
      </c>
      <c r="E101" s="118"/>
      <c r="F101" s="115"/>
      <c r="G101" s="115"/>
      <c r="H101" s="119" t="str">
        <f t="shared" ref="H101:H104" si="32">IF(E102="","",100/$G$79*G102)</f>
        <v/>
      </c>
      <c r="I101" s="128" t="s">
        <v>64</v>
      </c>
      <c r="J101" s="118"/>
      <c r="K101" s="115"/>
    </row>
    <row r="102" outlineLevel="1">
      <c r="A102" s="67" t="s">
        <v>258</v>
      </c>
      <c r="B102" s="68" t="s">
        <v>259</v>
      </c>
      <c r="C102" s="69" t="s">
        <v>7</v>
      </c>
      <c r="D102" s="69" t="s">
        <v>20</v>
      </c>
      <c r="E102" s="69"/>
      <c r="H102" s="70" t="str">
        <f t="shared" si="32"/>
        <v/>
      </c>
      <c r="I102" s="128" t="s">
        <v>64</v>
      </c>
      <c r="J102" s="71"/>
      <c r="K102" s="68"/>
    </row>
    <row r="103" outlineLevel="1">
      <c r="A103" s="67" t="s">
        <v>260</v>
      </c>
      <c r="B103" s="68" t="s">
        <v>261</v>
      </c>
      <c r="C103" s="69" t="s">
        <v>12</v>
      </c>
      <c r="D103" s="69" t="s">
        <v>18</v>
      </c>
      <c r="E103" s="69"/>
      <c r="H103" s="70" t="str">
        <f t="shared" si="32"/>
        <v/>
      </c>
      <c r="I103" s="128"/>
      <c r="J103" s="71"/>
      <c r="K103" s="68"/>
    </row>
    <row r="104" outlineLevel="1">
      <c r="A104" s="67" t="s">
        <v>262</v>
      </c>
      <c r="B104" s="68" t="s">
        <v>263</v>
      </c>
      <c r="C104" s="69" t="s">
        <v>7</v>
      </c>
      <c r="D104" s="69" t="s">
        <v>20</v>
      </c>
      <c r="E104" s="69"/>
      <c r="H104" s="70" t="str">
        <f t="shared" si="32"/>
        <v/>
      </c>
      <c r="I104" s="128" t="s">
        <v>64</v>
      </c>
      <c r="J104" s="71"/>
      <c r="K104" s="54"/>
    </row>
    <row r="105" s="138" customFormat="1" outlineLevel="1">
      <c r="A105" s="116" t="s">
        <v>264</v>
      </c>
      <c r="B105" s="117" t="s">
        <v>265</v>
      </c>
      <c r="C105" s="118" t="s">
        <v>7</v>
      </c>
      <c r="D105" s="118" t="s">
        <v>20</v>
      </c>
      <c r="E105" s="118"/>
      <c r="F105" s="115"/>
      <c r="G105" s="115"/>
      <c r="H105" s="119" t="str">
        <f>IF(E105="","",100/$G$79*G105)</f>
        <v/>
      </c>
      <c r="I105" s="128" t="s">
        <v>64</v>
      </c>
      <c r="J105" s="118"/>
      <c r="K105" s="115"/>
    </row>
    <row r="106" ht="13.9">
      <c r="A106" s="165"/>
      <c r="B106" s="178" t="s">
        <v>74</v>
      </c>
      <c r="C106" s="164"/>
      <c r="D106" s="164"/>
      <c r="E106" s="104"/>
      <c r="F106" s="104"/>
      <c r="G106" s="179">
        <f>SUM(G2:G105)</f>
        <v>1530</v>
      </c>
      <c r="H106" s="180">
        <f>H6+H31+H61+H70+H78</f>
        <v>100</v>
      </c>
      <c r="I106" s="164"/>
      <c r="J106" s="114">
        <f>SUM(J8:J105)</f>
        <v>0</v>
      </c>
      <c r="K106" s="86"/>
    </row>
  </sheetData>
  <protectedRanges>
    <protectedRange name="Speicheraufrüstung" sqref="I30"/>
    <protectedRange name="interne Software_8_1_1_4" sqref="I57"/>
    <protectedRange name="interne Software_8_1_1_2" sqref="I54:I56 I58:I60"/>
    <protectedRange name="interne Software_8_1_2" sqref="I52"/>
    <protectedRange name="Input Papierverarbeitung_1_2" sqref="I53"/>
    <protectedRange name="interne Software_1_4" sqref="I104:I105 I101:I102"/>
    <protectedRange name="Input Papierverarbeitung_2_2" sqref="I103"/>
    <protectedRange name="interne Software_1_3" sqref="I90:I99"/>
    <protectedRange name="Input Papierverarbeitung_1_1_2" sqref="I89"/>
    <protectedRange name="Input Papierverarbeitung_1_1_1" sqref="I88"/>
    <protectedRange name="interne Software_1_1" sqref="I83 I80:I81 I85:I87"/>
    <protectedRange name="Input Papierverarbeitung_2_1" sqref="I82 I84"/>
    <protectedRange name="interne Software_17" sqref="I76:I77"/>
    <protectedRange name="interne Software_13" sqref="I72:I74"/>
    <protectedRange name="interne Software_11" sqref="I67:I69"/>
    <protectedRange name="Input Papierverarbeitung_1_2_1" sqref="I65"/>
    <protectedRange name="interne Software_10" sqref="I63:I64"/>
    <protectedRange name="Input Papierverarbeitung_4_1" sqref="I43"/>
    <protectedRange name="Input Papierverarbeitung_4" sqref="I45"/>
    <protectedRange name="GrammaturDuplexspeed_1" sqref="I39"/>
    <protectedRange name="interne Software_8" sqref="I33:I37 I40 I44 I42 I46:I47 I49"/>
    <protectedRange name="GrammaturDuplexdruck_1" sqref="I38"/>
    <protectedRange name="interne Software_6" sqref="I27:I28 I30"/>
    <protectedRange name="interne Software_5" sqref="I20:I25"/>
    <protectedRange name="interne Software_4" sqref="I15:I18"/>
    <protectedRange name="Systemdaten_2" sqref="I14"/>
    <protectedRange name="Gerätebezeichnung_1" sqref="I8"/>
    <protectedRange name="interne Software_3" sqref="I10:I13"/>
    <protectedRange name="Systemdaten_1" sqref="I8:I9"/>
    <protectedRange name="Gerätemaße_1" sqref="I9"/>
    <protectedRange name="Input Papierverarbeitung_3" sqref="I48 I50"/>
    <protectedRange name="Systemdaten" sqref="M9:M10"/>
  </protectedRanges>
  <dataValidations count="7" disablePrompts="0" xWindow="1657" yWindow="1196">
    <dataValidation sqref="I8" type="none" allowBlank="1" errorStyle="stop" imeMode="noControl" operator="between" prompt="Genaue Bezeichnung des Gerätes. Bitte vollständige Bezeichnung angeben.&#10;Beispiel: Laser 1345DN für Drucker Typ 1345 Duplex + Netzwerk" promptTitle="Bezeichnung des Gerätes" showDropDown="0" showErrorMessage="1" showInputMessage="1"/>
    <dataValidation sqref="I9" type="none" allowBlank="1" errorStyle="stop" imeMode="noControl" operator="between" prompt="Maße Basisgerät incl. ALLER in dieser angebotenen Konfiguration verbauten Optionen angeben. B×H×T in cm. Bsp: Angebotene Geräteversion mit 4 statt 2 Papierkassetten !&#10;" promptTitle="Abmaße (Werte in cm angeben!)" showDropDown="0" showErrorMessage="1" showInputMessage="1"/>
    <dataValidation sqref="M9:M10" type="list" allowBlank="1" errorStyle="stop" imeMode="noControl" operator="between" showDropDown="0" showErrorMessage="1" showInputMessage="1">
      <formula1>Hilfsabellen!$B$3:$B$4</formula1>
    </dataValidation>
    <dataValidation sqref="I44 I33:I37 I63:I64 I83 I80:I81 I15:I18 I72:I74 I27:I28 I20:I25 I10:I13 I30 I46:I47 I52:I60 I76:I77 I49 I42 I104:I105 I101:I102 I85:I86 I90:I99 I40 I67:I69" type="list" allowBlank="1" errorStyle="stop" imeMode="noControl" operator="between" prompt="Bitte wählen Sie aus dem Dropdown-Menü Ja oder Nein aus." promptTitle="Antwort wählen" showDropDown="0" showErrorMessage="1" showInputMessage="1">
      <formula1>Hilfsabellen!$B$3:$B$5</formula1>
    </dataValidation>
    <dataValidation sqref="I87" type="list" allowBlank="1" errorStyle="stop" imeMode="noControl" operator="between" prompt="Bitte wählen Sie aus dem Dropdown-Menü CCD oder CIS aus." promptTitle="Antwort wählen" showDropDown="0" showErrorMessage="1" showInputMessage="1">
      <formula1>Hilfsabellen!$B$14:$B$16</formula1>
    </dataValidation>
    <dataValidation sqref="I65" type="list" allowBlank="1" errorStyle="stop" imeMode="noControl" operator="between" prompt="Bitte geben Sie hier die Version der ENERGY STAR-Spezifikation an, nach der der TEC-Wert ermittelt wurde.  (01/2020 ist Ver. 3.0 in Kraft getreten)" promptTitle="Manuelle Eingabe: ENERGY STAR" showDropDown="0" showErrorMessage="1" showInputMessage="1">
      <formula1>Hilfsabellen!$B$22:$B$24</formula1>
    </dataValidation>
    <dataValidation sqref="N11" type="list" allowBlank="1" errorStyle="stop" imeMode="noControl" operator="between" showDropDown="0" showErrorMessage="1" showInputMessage="1">
      <formula1>Hilfsabellen!D14:D17</formula1>
    </dataValidation>
  </dataValidations>
  <printOptions headings="0" gridLines="0"/>
  <pageMargins left="0.70866141732283472" right="0.70866141732283472" top="0.98425196850393704" bottom="0.78740157480314954" header="0.31496062992125984" footer="0.31496062992125984"/>
  <pageSetup paperSize="9" scale="75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&amp;L&amp;G</oddHeader>
    <oddFooter>&amp;L&amp;D&amp;CPortal ID: CXQ6YYWYWMJ&amp;R&amp;A: Seite &amp;P von &amp;N</oddFooter>
  </headerFooter>
  <drawing r:id="rId1"/>
  <legacyDrawingHF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52" operator="containsText" text="A" id="{9B6C7213-C38F-4CD0-9662-C823AB26C801}">
            <xm:f>NOT(ISERROR(SEARCH("A",C6)))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C6:C9 C16:C25 C27:C29 C31:C40 C51 C61:C65 C67:C69 C75 C77:C88 C90:C105</xm:sqref>
        </x14:conditionalFormatting>
        <x14:conditionalFormatting xmlns:xm="http://schemas.microsoft.com/office/excel/2006/main">
          <x14:cfRule type="containsText" priority="261" operator="containsText" text="A" id="{68CB6158-73BB-4D12-AE7B-7F1015B793F4}">
            <xm:f>NOT(ISERROR(SEARCH("A",C10)))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C10:C15</xm:sqref>
        </x14:conditionalFormatting>
        <x14:conditionalFormatting xmlns:xm="http://schemas.microsoft.com/office/excel/2006/main">
          <x14:cfRule type="containsText" priority="260" operator="containsText" text="A" id="{8E8DF26B-159C-46AF-AD42-8C43351DDF73}">
            <xm:f>NOT(ISERROR(SEARCH("A",C30)))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C30</xm:sqref>
        </x14:conditionalFormatting>
        <x14:conditionalFormatting xmlns:xm="http://schemas.microsoft.com/office/excel/2006/main">
          <x14:cfRule type="containsText" priority="176" operator="containsText" text="A" id="{55C2B3B9-A3EC-48FD-B7B8-60DC128074D3}">
            <xm:f>NOT(ISERROR(SEARCH("A",C42)))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C42:C50</xm:sqref>
        </x14:conditionalFormatting>
        <x14:conditionalFormatting xmlns:xm="http://schemas.microsoft.com/office/excel/2006/main">
          <x14:cfRule type="containsText" priority="7" operator="containsText" text="A" id="{D6913E2F-9481-4456-A77A-8D156E37573D}">
            <xm:f>NOT(ISERROR(SEARCH("A",C52)))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C52:C60</xm:sqref>
        </x14:conditionalFormatting>
        <x14:conditionalFormatting xmlns:xm="http://schemas.microsoft.com/office/excel/2006/main">
          <x14:cfRule type="containsText" priority="310" operator="containsText" text="A" id="{CD8D5825-FF68-4DDB-A752-0D4F2630D7B2}">
            <xm:f>NOT(ISERROR(SEARCH("A",C72)))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C72:C73</xm:sqref>
        </x14:conditionalFormatting>
        <x14:conditionalFormatting xmlns:xm="http://schemas.microsoft.com/office/excel/2006/main">
          <x14:cfRule type="expression" priority="215" id="{51CDCA74-9828-421B-B2F4-C0D18A0E912F}">
            <xm:f>NOT(ISBLANK($I$8))</xm:f>
            <x14:dxf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</xm:sqref>
        </x14:conditionalFormatting>
        <x14:conditionalFormatting xmlns:xm="http://schemas.microsoft.com/office/excel/2006/main">
          <x14:cfRule type="cellIs" priority="211" operator="equal" id="{EC1E4C0E-21F0-48DE-971A-8D6165886900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I8:I13 I30 I33:I40</xm:sqref>
        </x14:conditionalFormatting>
        <x14:conditionalFormatting xmlns:xm="http://schemas.microsoft.com/office/excel/2006/main">
          <x14:cfRule type="expression" priority="214" id="{31561A73-36BB-41BD-94BC-27D84C383864}">
            <xm:f>NOT(ISBLANK($I$9))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207" id="{FE7295A9-8195-47FC-BD8D-71ACD0BC3230}">
            <xm:f>NOT(ISBLANK($I$14))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I14</xm:sqref>
        </x14:conditionalFormatting>
        <x14:conditionalFormatting xmlns:xm="http://schemas.microsoft.com/office/excel/2006/main">
          <x14:cfRule type="cellIs" priority="209" operator="equal" id="{AE37A3BC-1D63-49CE-8363-BE69E7882E22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I14:I18</xm:sqref>
        </x14:conditionalFormatting>
        <x14:conditionalFormatting xmlns:xm="http://schemas.microsoft.com/office/excel/2006/main">
          <x14:cfRule type="containsText" priority="204" operator="containsText" text="nein" id="{EA06E937-122E-4DFF-AEB0-4A48371C25DA}">
            <xm:f>NOT(ISERROR(SEARCH("nein",I15)))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I15 I18 I21 I23</xm:sqref>
        </x14:conditionalFormatting>
        <x14:conditionalFormatting xmlns:xm="http://schemas.microsoft.com/office/excel/2006/main">
          <x14:cfRule type="containsText" priority="210" operator="containsText" text="nein" id="{8C51FFDF-36B7-4C0C-81A1-91B582CADD62}">
            <xm:f>NOT(ISERROR(SEARCH("nein",I10)))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I16:I17 I10:I13</xm:sqref>
        </x14:conditionalFormatting>
        <x14:conditionalFormatting xmlns:xm="http://schemas.microsoft.com/office/excel/2006/main">
          <x14:cfRule type="containsText" priority="205" operator="containsText" text="nein" id="{01C5A094-8944-42F3-96FA-70D7120BB179}">
            <xm:f>NOT(ISERROR(SEARCH("nein",I20)))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I20 I22 I24:I25</xm:sqref>
        </x14:conditionalFormatting>
        <x14:conditionalFormatting xmlns:xm="http://schemas.microsoft.com/office/excel/2006/main">
          <x14:cfRule type="cellIs" priority="206" operator="equal" id="{1B20FA26-578E-4E22-9D7E-D96EC3CAB418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I20:I25</xm:sqref>
        </x14:conditionalFormatting>
        <x14:conditionalFormatting xmlns:xm="http://schemas.microsoft.com/office/excel/2006/main">
          <x14:cfRule type="cellIs" priority="203" operator="equal" id="{B0760C40-F2A0-4CC1-B98F-72C40CE5952C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I27:I28</xm:sqref>
        </x14:conditionalFormatting>
        <x14:conditionalFormatting xmlns:xm="http://schemas.microsoft.com/office/excel/2006/main">
          <x14:cfRule type="containsText" priority="202" operator="containsText" text="nein" id="{BACD7391-D167-4A00-9E64-C864C5BF6EB6}">
            <xm:f>NOT(ISERROR(SEARCH("nein",I27)))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I27:I28</xm:sqref>
        </x14:conditionalFormatting>
        <x14:conditionalFormatting xmlns:xm="http://schemas.microsoft.com/office/excel/2006/main">
          <x14:cfRule type="containsText" priority="197" operator="containsText" text="nein" id="{67EA654D-1AD3-4EFE-AB79-B5915E8D8ACD}">
            <xm:f>NOT(ISERROR(SEARCH("nein",I30)))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I30</xm:sqref>
        </x14:conditionalFormatting>
        <x14:conditionalFormatting xmlns:xm="http://schemas.microsoft.com/office/excel/2006/main">
          <x14:cfRule type="containsText" priority="195" operator="containsText" text="nein" id="{ADBA71F5-C5CD-4B99-8923-262A7F8DB2FD}">
            <xm:f>NOT(ISERROR(SEARCH("nein",I33)))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I33:I35 I37 I40</xm:sqref>
        </x14:conditionalFormatting>
        <x14:conditionalFormatting xmlns:xm="http://schemas.microsoft.com/office/excel/2006/main">
          <x14:cfRule type="containsText" priority="194" operator="containsText" text="nein" id="{3E0A727D-3082-4789-B5A4-CB4B8E355BC9}">
            <xm:f>NOT(ISERROR(SEARCH("nein",I36)))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I36</xm:sqref>
        </x14:conditionalFormatting>
        <x14:conditionalFormatting xmlns:xm="http://schemas.microsoft.com/office/excel/2006/main">
          <x14:cfRule type="expression" priority="193" id="{0BAD5525-408B-4317-9F88-7F09C3EA781B}">
            <xm:f>NOT(ISBLANK($I$38))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I38</xm:sqref>
        </x14:conditionalFormatting>
        <x14:conditionalFormatting xmlns:xm="http://schemas.microsoft.com/office/excel/2006/main">
          <x14:cfRule type="expression" priority="192" id="{EDB974D1-2137-4C18-ACE5-D0E6C414D7C8}">
            <xm:f>NOT(ISBLANK($I$39))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I39</xm:sqref>
        </x14:conditionalFormatting>
        <x14:conditionalFormatting xmlns:xm="http://schemas.microsoft.com/office/excel/2006/main">
          <x14:cfRule type="cellIs" priority="185" operator="equal" id="{F67C2DED-9ED6-4FB6-9E21-72BFC7DF2DCB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I42</xm:sqref>
        </x14:conditionalFormatting>
        <x14:conditionalFormatting xmlns:xm="http://schemas.microsoft.com/office/excel/2006/main">
          <x14:cfRule type="containsText" priority="184" operator="containsText" text="nein" id="{F77E0615-9BB9-4284-B027-DE00976B8FBF}">
            <xm:f>NOT(ISERROR(SEARCH("nein",I42)))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I42</xm:sqref>
        </x14:conditionalFormatting>
        <x14:conditionalFormatting xmlns:xm="http://schemas.microsoft.com/office/excel/2006/main">
          <x14:cfRule type="expression" priority="182" id="{477E289F-4C7F-4288-9F1F-F232719613EB}">
            <xm:f>NOT(ISBLANK($I$43))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I43:I45</xm:sqref>
        </x14:conditionalFormatting>
        <x14:conditionalFormatting xmlns:xm="http://schemas.microsoft.com/office/excel/2006/main">
          <x14:cfRule type="cellIs" priority="181" operator="equal" id="{323BA7A0-4275-4C07-8B5F-352E15B93E05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I43:I47</xm:sqref>
        </x14:conditionalFormatting>
        <x14:conditionalFormatting xmlns:xm="http://schemas.microsoft.com/office/excel/2006/main">
          <x14:cfRule type="containsText" priority="190" operator="containsText" text="nein" id="{3CD2CEE7-C078-4D27-91EC-C6894F94C875}">
            <xm:f>NOT(ISERROR(SEARCH("nein",I44)))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I44</xm:sqref>
        </x14:conditionalFormatting>
        <x14:conditionalFormatting xmlns:xm="http://schemas.microsoft.com/office/excel/2006/main">
          <x14:cfRule type="cellIs" priority="191" operator="equal" id="{7ABB1360-35A1-4722-B4E5-559520988BA3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I44</xm:sqref>
        </x14:conditionalFormatting>
        <x14:conditionalFormatting xmlns:xm="http://schemas.microsoft.com/office/excel/2006/main">
          <x14:cfRule type="expression" priority="186" id="{AF004542-61C8-421F-AF8D-18598344A7ED}">
            <xm:f>NOT(ISBLANK($I$45))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I45</xm:sqref>
        </x14:conditionalFormatting>
        <x14:conditionalFormatting xmlns:xm="http://schemas.microsoft.com/office/excel/2006/main">
          <x14:cfRule type="containsText" priority="180" operator="containsText" text="nein" id="{A61803F6-1291-487D-8794-FC562F58BD3A}">
            <xm:f>NOT(ISERROR(SEARCH("nein",I46)))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I46:I47</xm:sqref>
        </x14:conditionalFormatting>
        <x14:conditionalFormatting xmlns:xm="http://schemas.microsoft.com/office/excel/2006/main">
          <x14:cfRule type="expression" priority="177" id="{28DEF108-8707-4E4D-ACDA-B2840B25E553}">
            <xm:f>NOT(ISBLANK($I$48))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I48</xm:sqref>
        </x14:conditionalFormatting>
        <x14:conditionalFormatting xmlns:xm="http://schemas.microsoft.com/office/excel/2006/main">
          <x14:cfRule type="cellIs" priority="175" operator="equal" id="{55755242-5E73-4B37-8316-9E8BD501CC66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I49</xm:sqref>
        </x14:conditionalFormatting>
        <x14:conditionalFormatting xmlns:xm="http://schemas.microsoft.com/office/excel/2006/main">
          <x14:cfRule type="containsText" priority="174" operator="containsText" text="nein" id="{B6786030-46AD-46AC-8773-1B695CA87430}">
            <xm:f>NOT(ISERROR(SEARCH("nein",I49)))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I49</xm:sqref>
        </x14:conditionalFormatting>
        <x14:conditionalFormatting xmlns:xm="http://schemas.microsoft.com/office/excel/2006/main">
          <x14:cfRule type="expression" priority="173" id="{FFA475D4-93BB-4DA9-A89A-2C69C7C17925}">
            <xm:f>NOT(ISBLANK($I$50))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I50</xm:sqref>
        </x14:conditionalFormatting>
        <x14:conditionalFormatting xmlns:xm="http://schemas.microsoft.com/office/excel/2006/main">
          <x14:cfRule type="containsText" priority="17" operator="containsText" text="nein" id="{54F15AF5-9747-4A05-B983-C578D25F8443}">
            <xm:f>NOT(ISERROR(SEARCH("nein",I52)))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I52</xm:sqref>
        </x14:conditionalFormatting>
        <x14:conditionalFormatting xmlns:xm="http://schemas.microsoft.com/office/excel/2006/main">
          <x14:cfRule type="cellIs" priority="18" operator="equal" id="{68FC5593-83C4-40B8-98B1-3CCE53CF6914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I52</xm:sqref>
        </x14:conditionalFormatting>
        <x14:conditionalFormatting xmlns:xm="http://schemas.microsoft.com/office/excel/2006/main">
          <x14:cfRule type="expression" priority="19" id="{4AB87ED3-B0EC-4374-9ED5-DB2C5DD594FE}">
            <xm:f>NOT(ISBLANK($I$53))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I53</xm:sqref>
        </x14:conditionalFormatting>
        <x14:conditionalFormatting xmlns:xm="http://schemas.microsoft.com/office/excel/2006/main">
          <x14:cfRule type="cellIs" priority="21" operator="equal" id="{08AEBB15-E62D-4DAE-AF26-8CC2E86D3199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I54:I59</xm:sqref>
        </x14:conditionalFormatting>
        <x14:conditionalFormatting xmlns:xm="http://schemas.microsoft.com/office/excel/2006/main">
          <x14:cfRule type="containsText" priority="20" operator="containsText" text="nein" id="{41EF33A7-6F18-4FE8-A63A-AE240B4B7113}">
            <xm:f>NOT(ISERROR(SEARCH("nein",I54)))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I54:I59</xm:sqref>
        </x14:conditionalFormatting>
        <x14:conditionalFormatting xmlns:xm="http://schemas.microsoft.com/office/excel/2006/main">
          <x14:cfRule type="cellIs" priority="14" operator="equal" id="{B4DD741B-83D5-4E98-90B3-6F7ECB2A9144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I57:I58</xm:sqref>
        </x14:conditionalFormatting>
        <x14:conditionalFormatting xmlns:xm="http://schemas.microsoft.com/office/excel/2006/main">
          <x14:cfRule type="containsText" priority="13" operator="containsText" text="nein" id="{E1D2D3D1-7261-4953-AC17-9C7840C5EDAA}">
            <xm:f>NOT(ISERROR(SEARCH("nein",I57)))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I57:I58</xm:sqref>
        </x14:conditionalFormatting>
        <x14:conditionalFormatting xmlns:xm="http://schemas.microsoft.com/office/excel/2006/main">
          <x14:cfRule type="cellIs" priority="6" operator="equal" id="{D140F8C4-E950-4770-82D6-08791E3D471B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I60</xm:sqref>
        </x14:conditionalFormatting>
        <x14:conditionalFormatting xmlns:xm="http://schemas.microsoft.com/office/excel/2006/main">
          <x14:cfRule type="containsText" priority="5" operator="containsText" text="nein" id="{2A6A6A0D-C334-408C-AFE6-EAC722182B5A}">
            <xm:f>NOT(ISERROR(SEARCH("nein",I60)))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I60</xm:sqref>
        </x14:conditionalFormatting>
        <x14:conditionalFormatting xmlns:xm="http://schemas.microsoft.com/office/excel/2006/main">
          <x14:cfRule type="containsText" priority="166" operator="containsText" text="nein" id="{3B5F8C13-55F3-4119-B725-019409B5A024}">
            <xm:f>NOT(ISERROR(SEARCH("nein",I63)))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I63:I64</xm:sqref>
        </x14:conditionalFormatting>
        <x14:conditionalFormatting xmlns:xm="http://schemas.microsoft.com/office/excel/2006/main">
          <x14:cfRule type="cellIs" priority="167" operator="equal" id="{B26E86A5-68DF-4CF5-9B37-3D8F0494AE05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I63:I65</xm:sqref>
        </x14:conditionalFormatting>
        <x14:conditionalFormatting xmlns:xm="http://schemas.microsoft.com/office/excel/2006/main">
          <x14:cfRule type="containsText" priority="165" operator="containsText" text="2.0" id="{BF14422B-9918-41D2-9F0B-493DDB0A5285}">
            <xm:f>NOT(ISERROR(SEARCH("2.0",I65)))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I65</xm:sqref>
        </x14:conditionalFormatting>
        <x14:conditionalFormatting xmlns:xm="http://schemas.microsoft.com/office/excel/2006/main">
          <x14:cfRule type="containsText" priority="164" operator="containsText" text="3.0" id="{DE2BFE00-2E13-4DCF-81DB-494CDF8ED7F2}">
            <xm:f>NOT(ISERROR(SEARCH("3.0",I65)))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I65</xm:sqref>
        </x14:conditionalFormatting>
        <x14:conditionalFormatting xmlns:xm="http://schemas.microsoft.com/office/excel/2006/main">
          <x14:cfRule type="containsText" priority="162" operator="containsText" text="nein" id="{31C230CF-6E6D-4846-9227-21E331771B52}">
            <xm:f>NOT(ISERROR(SEARCH("nein",I67)))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I67</xm:sqref>
        </x14:conditionalFormatting>
        <x14:conditionalFormatting xmlns:xm="http://schemas.microsoft.com/office/excel/2006/main">
          <x14:cfRule type="cellIs" priority="163" operator="equal" id="{4B14D899-E8A5-450D-87E6-61777049A158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I67:I69</xm:sqref>
        </x14:conditionalFormatting>
        <x14:conditionalFormatting xmlns:xm="http://schemas.microsoft.com/office/excel/2006/main">
          <x14:cfRule type="containsText" priority="161" operator="containsText" text="nein" id="{E140BBC9-F74B-4CD9-AC22-F7F96E4C69B1}">
            <xm:f>NOT(ISERROR(SEARCH("nein",I68)))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I68:I69</xm:sqref>
        </x14:conditionalFormatting>
        <x14:conditionalFormatting xmlns:xm="http://schemas.microsoft.com/office/excel/2006/main">
          <x14:cfRule type="containsText" priority="152" operator="containsText" text="nein" id="{84005DD9-EFBB-4969-B7F0-0AAAA747AEB5}">
            <xm:f>NOT(ISERROR(SEARCH("nein",I72)))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I72:I73</xm:sqref>
        </x14:conditionalFormatting>
        <x14:conditionalFormatting xmlns:xm="http://schemas.microsoft.com/office/excel/2006/main">
          <x14:cfRule type="cellIs" priority="153" operator="equal" id="{3857F067-C396-4A80-A233-3BBEFF64042F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I72:I74</xm:sqref>
        </x14:conditionalFormatting>
        <x14:conditionalFormatting xmlns:xm="http://schemas.microsoft.com/office/excel/2006/main">
          <x14:cfRule type="containsText" priority="151" operator="containsText" text="nein" id="{79775BD2-2F1B-4C89-AD0E-C106FFC6D18E}">
            <xm:f>NOT(ISERROR(SEARCH("nein",I74)))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I74</xm:sqref>
        </x14:conditionalFormatting>
        <x14:conditionalFormatting xmlns:xm="http://schemas.microsoft.com/office/excel/2006/main">
          <x14:cfRule type="cellIs" priority="144" operator="equal" id="{B3F0A274-E31C-4DED-AB17-C78C59161F1C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I76:I77</xm:sqref>
        </x14:conditionalFormatting>
        <x14:conditionalFormatting xmlns:xm="http://schemas.microsoft.com/office/excel/2006/main">
          <x14:cfRule type="containsText" priority="142" operator="containsText" text="nein" id="{35E54752-2D99-481B-B598-FD6E2D91BEE5}">
            <xm:f>NOT(ISERROR(SEARCH("nein",I76)))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I76:I77</xm:sqref>
        </x14:conditionalFormatting>
        <x14:conditionalFormatting xmlns:xm="http://schemas.microsoft.com/office/excel/2006/main">
          <x14:cfRule type="containsText" priority="140" operator="containsText" text="nein" id="{2F2879C6-0641-4264-BE53-BD51F45A46B4}">
            <xm:f>NOT(ISERROR(SEARCH("nein",I80)))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I80:I81 I83 I85</xm:sqref>
        </x14:conditionalFormatting>
        <x14:conditionalFormatting xmlns:xm="http://schemas.microsoft.com/office/excel/2006/main">
          <x14:cfRule type="cellIs" priority="141" operator="equal" id="{5AAA9A7F-2BEF-4A52-B4DE-79D58D95526E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I80:I86</xm:sqref>
        </x14:conditionalFormatting>
        <x14:conditionalFormatting xmlns:xm="http://schemas.microsoft.com/office/excel/2006/main">
          <x14:cfRule type="expression" priority="138" id="{3DB53DB7-50B1-4CF9-8FF7-04C597283D64}">
            <xm:f>NOT(ISBLANK($I$82))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I82</xm:sqref>
        </x14:conditionalFormatting>
        <x14:conditionalFormatting xmlns:xm="http://schemas.microsoft.com/office/excel/2006/main">
          <x14:cfRule type="expression" priority="137" id="{BE428B38-BD66-4D90-A901-27B666FD02B3}">
            <xm:f>NOT(ISBLANK($I$84))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I84</xm:sqref>
        </x14:conditionalFormatting>
        <x14:conditionalFormatting xmlns:xm="http://schemas.microsoft.com/office/excel/2006/main">
          <x14:cfRule type="containsText" priority="10" operator="containsText" text="nein" id="{EEF13C0A-15A1-4F3B-8260-18394890005E}">
            <xm:f>NOT(ISERROR(SEARCH("nein",I86)))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I86</xm:sqref>
        </x14:conditionalFormatting>
        <x14:conditionalFormatting xmlns:xm="http://schemas.microsoft.com/office/excel/2006/main">
          <x14:cfRule type="containsText" priority="136" operator="containsText" text="CCD" id="{B44089B3-C3EF-45A9-AA89-93483D0DBC77}">
            <xm:f>NOT(ISERROR(SEARCH("CCD",I87)))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I87</xm:sqref>
        </x14:conditionalFormatting>
        <x14:conditionalFormatting xmlns:xm="http://schemas.microsoft.com/office/excel/2006/main">
          <x14:cfRule type="containsText" priority="135" operator="containsText" text="CIS" id="{545EBC04-C4AF-45E6-9201-7CDB02C0CDF9}">
            <xm:f>NOT(ISERROR(SEARCH("CIS",I87)))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I87</xm:sqref>
        </x14:conditionalFormatting>
        <x14:conditionalFormatting xmlns:xm="http://schemas.microsoft.com/office/excel/2006/main">
          <x14:cfRule type="cellIs" priority="127" operator="equal" id="{9ED1A954-FD65-4AD6-9310-04F26B0CE3DF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I87:I98</xm:sqref>
        </x14:conditionalFormatting>
        <x14:conditionalFormatting xmlns:xm="http://schemas.microsoft.com/office/excel/2006/main">
          <x14:cfRule type="expression" priority="133" id="{2F6A9FC2-0642-4BE7-950B-94472CC633E9}">
            <xm:f>NOT(ISBLANK($I$88))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I88</xm:sqref>
        </x14:conditionalFormatting>
        <x14:conditionalFormatting xmlns:xm="http://schemas.microsoft.com/office/excel/2006/main">
          <x14:cfRule type="expression" priority="131" id="{B8DE5390-D4A3-4F3B-92A0-4D1C1D31A997}">
            <xm:f>NOT(ISBLANK($I$89))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I89</xm:sqref>
        </x14:conditionalFormatting>
        <x14:conditionalFormatting xmlns:xm="http://schemas.microsoft.com/office/excel/2006/main">
          <x14:cfRule type="containsText" priority="126" operator="containsText" text="nein" id="{8982FDCA-C44B-4FF2-99D5-217918A5F59B}">
            <xm:f>NOT(ISERROR(SEARCH("nein",I90)))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I90:I92 I94 I96</xm:sqref>
        </x14:conditionalFormatting>
        <x14:conditionalFormatting xmlns:xm="http://schemas.microsoft.com/office/excel/2006/main">
          <x14:cfRule type="containsText" priority="125" operator="containsText" text="nein" id="{331E9A6A-9EEC-4522-AF72-6A379A56F8CE}">
            <xm:f>NOT(ISERROR(SEARCH("nein",I93)))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I93 I95 I97:I98</xm:sqref>
        </x14:conditionalFormatting>
        <x14:conditionalFormatting xmlns:xm="http://schemas.microsoft.com/office/excel/2006/main">
          <x14:cfRule type="containsText" priority="2" operator="containsText" text="nein" id="{44895170-1F6B-4A35-92C8-02355843D60C}">
            <xm:f>NOT(ISERROR(SEARCH("nein",I99)))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I99</xm:sqref>
        </x14:conditionalFormatting>
        <x14:conditionalFormatting xmlns:xm="http://schemas.microsoft.com/office/excel/2006/main">
          <x14:cfRule type="cellIs" priority="3" operator="equal" id="{CD2E5F2B-6BDC-4750-8BA8-951573498CC2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I99</xm:sqref>
        </x14:conditionalFormatting>
        <x14:conditionalFormatting xmlns:xm="http://schemas.microsoft.com/office/excel/2006/main">
          <x14:cfRule type="containsText" priority="123" operator="containsText" text="nein" id="{44A427A5-D978-4469-9CDF-5DCFFCABCDE8}">
            <xm:f>NOT(ISERROR(SEARCH("nein",I101)))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I101:I102 I104:I105</xm:sqref>
        </x14:conditionalFormatting>
        <x14:conditionalFormatting xmlns:xm="http://schemas.microsoft.com/office/excel/2006/main">
          <x14:cfRule type="cellIs" priority="124" operator="equal" id="{6DFDB4D5-760C-44D9-8123-8C590329BD5B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I101:I105</xm:sqref>
        </x14:conditionalFormatting>
        <x14:conditionalFormatting xmlns:xm="http://schemas.microsoft.com/office/excel/2006/main">
          <x14:cfRule type="expression" priority="122" id="{010A19CC-30BB-4BA1-880F-E4759D8B7D69}">
            <xm:f>NOT(ISBLANK($I$103))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I103</xm:sqref>
        </x14:conditionalFormatting>
        <x14:conditionalFormatting xmlns:xm="http://schemas.microsoft.com/office/excel/2006/main">
          <x14:cfRule type="cellIs" priority="32" operator="equal" id="{2C342FE0-1205-49CD-99E0-5F8F13052D58}">
            <xm:f>10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J57</xm:sqref>
        </x14:conditionalFormatting>
        <x14:conditionalFormatting xmlns:xm="http://schemas.microsoft.com/office/excel/2006/main">
          <x14:cfRule type="containsText" priority="548" operator="containsText" text="nein" id="{1AD1FB73-47D1-42C2-8E46-B865DACE6948}">
            <xm:f>NOT(ISERROR(SEARCH("nein",M9)))</xm:f>
            <x14:dxf>
              <border>
                <left style="thin">
                  <color rgb="FF9C0006"/>
                </left>
                <right style="thin">
                  <color rgb="FF9C0006"/>
                </right>
                <top style="thin">
                  <color rgb="FF9C0006"/>
                </top>
                <bottom style="thin">
                  <color rgb="FF9C0006"/>
                </bottom>
                <diagonal style="none"/>
                <vertical style="none"/>
                <horizontal style="none"/>
              </border>
            </x14:dxf>
          </x14:cfRule>
          <xm:sqref>M9:M10</xm:sqref>
        </x14:conditionalFormatting>
        <x14:conditionalFormatting xmlns:xm="http://schemas.microsoft.com/office/excel/2006/main">
          <x14:cfRule type="containsText" priority="549" operator="containsText" text="nein" id="{5D8A7328-9796-4374-AE52-32DF1BDA9581}">
            <xm:f>NOT(ISERROR(SEARCH("nein",M9)))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M9:M10</xm:sqref>
        </x14:conditionalFormatting>
        <x14:conditionalFormatting xmlns:xm="http://schemas.microsoft.com/office/excel/2006/main">
          <x14:cfRule type="containsText" priority="550" operator="containsText" text="ja" id="{FF282D4F-8D85-4347-B6C0-8B8246C79DAF}">
            <xm:f>NOT(ISERROR(SEARCH("ja",M9)))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M9:M10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8" disablePrompts="0" xWindow="1657" yWindow="1196">
        <x14:dataValidation xr:uid="{17055A27-BA66-470D-AD73-3821DBD52B54}" type="whole" allowBlank="1" error="Das Gerät muss mit mindestens 512 MB RAM ausgestattet sein.&#10;Maximale RAM Ausstattung 16.384 MB" errorStyle="stop" errorTitle="Gültige Werte" imeMode="noControl" operator="between" prompt="Geben Sie hier die Größe des Speichers in MB an." promptTitle="RAM-Größe in MB" showDropDown="0" showErrorMessage="1" showInputMessage="1">
          <x14:formula1>
            <xm:f>512</xm:f>
          </x14:formula1>
          <x14:formula2>
            <xm:f>16384</xm:f>
          </x14:formula2>
          <xm:sqref>I14</xm:sqref>
        </x14:dataValidation>
        <x14:dataValidation xr:uid="{043D73C5-4144-4CAC-A564-CC4F92E92D3E}" type="list" allowBlank="1" errorStyle="stop" imeMode="noControl" operator="between" showDropDown="0" showErrorMessage="1" showInputMessage="1">
          <x14:formula1>
            <xm:f>Druckvolumen</xm:f>
          </x14:formula1>
          <xm:sqref>N9:N10</xm:sqref>
        </x14:dataValidation>
        <x14:dataValidation xr:uid="{29E56118-A673-4F5C-8DEB-7F9236992928}" type="list" allowBlank="1" errorStyle="stop" imeMode="noControl" operator="between" showDropDown="0" showErrorMessage="1" showInputMessage="1">
          <x14:formula1>
            <xm:f>MFG</xm:f>
          </x14:formula1>
          <xm:sqref>O8</xm:sqref>
        </x14:dataValidation>
        <x14:dataValidation xr:uid="{16EF5714-06FB-415C-9207-9CAF90022C87}" type="whole" allowBlank="1" error="500 Blatt Ausgabekapazität ist Minium.&#10;Eingaben zulässig: Zahlen von 500-3500" errorStyle="stop" errorTitle="Außerhalb Bereich" imeMode="noControl" operator="between" prompt="Bitte geben Sie hier die maximale Grammatur in g/m² an, die über die Zusatzzufuhr verarbeitet werden kann." promptTitle="Manuelle Eingabe: max. Grammatur" showDropDown="0" showErrorMessage="1" showInputMessage="1">
          <x14:formula1>
            <xm:f>500</xm:f>
          </x14:formula1>
          <x14:formula2>
            <xm:f>3500</xm:f>
          </x14:formula2>
          <xm:sqref>I53</xm:sqref>
        </x14:dataValidation>
        <x14:dataValidation xr:uid="{A3EA12F4-9C14-4FC3-AA97-98272309D233}" type="list" allowBlank="1" errorStyle="stop" imeMode="noControl" operator="between" showDropDown="0" showErrorMessage="1" showInputMessage="1">
          <x14:formula1>
            <xm:f>Papierformate</xm:f>
          </x14:formula1>
          <xm:sqref>N12</xm:sqref>
        </x14:dataValidation>
        <x14:dataValidation xr:uid="{B828F710-1F3D-4E93-BD32-961BE771D48A}" type="list" allowBlank="1" errorStyle="stop" imeMode="noControl" operator="between" showDropDown="0" showErrorMessage="1" showInputMessage="1">
          <x14:formula1>
            <xm:f>Kopiergeschw.</xm:f>
          </x14:formula1>
          <xm:sqref>N13</xm:sqref>
        </x14:dataValidation>
        <x14:dataValidation xr:uid="{114C0392-B28F-45D3-88EB-51F4BA9F6770}" type="whole" allowBlank="1" error="Die eingegebenen Wete liegen außerhalb des erlaubten Bereichs: Zahlen von 600-9600" errorStyle="stop" errorTitle="Ungültige Werte" imeMode="noControl" operator="between" prompt="Bitte geben Sie hier die maximale optische Kopienauflösung an" promptTitle="Manuelle Eingabe: Auflösung" showDropDown="0" showErrorMessage="1" showInputMessage="1">
          <x14:formula1>
            <xm:f>600</xm:f>
          </x14:formula1>
          <x14:formula2>
            <xm:f>9600</xm:f>
          </x14:formula2>
          <xm:sqref>I103</xm:sqref>
        </x14:dataValidation>
        <x14:dataValidation xr:uid="{62238DD4-7419-44AB-8827-EAB1A9A57A88}" type="whole" allowBlank="1" error="Die eingegebenen Wete liegen außerhalb des erlaubten Bereichs: Zahlen von 600-9600" errorStyle="stop" errorTitle="Ungültige Werte" imeMode="noControl" operator="between" prompt="Bitte geben Sie hier die maximale optische Scanauflösung an" promptTitle="Manuelle Eingabe: Auflösung" showDropDown="0" showErrorMessage="1" showInputMessage="1">
          <x14:formula1>
            <xm:f>600</xm:f>
          </x14:formula1>
          <x14:formula2>
            <xm:f>9600</xm:f>
          </x14:formula2>
          <xm:sqref>I84</xm:sqref>
        </x14:dataValidation>
        <x14:dataValidation xr:uid="{8AD42733-7340-49FC-B52A-24CA7F4FACC5}" type="whole" allowBlank="1" error="Die eingegebenen Werte liegen außerhalb des erlaubten Bereichs: Zahlen von 50-500" errorStyle="stop" errorTitle="Ungültige Werte" imeMode="noControl" operator="between" prompt="Bitte geben Sie hier die maximale Blattzahl (Papier 80 g/m²) an, die mit dem Vorlageneinzug verarbeitet werden kann." promptTitle="Manuelle Eingabe: Anzahl Blätter" showDropDown="0" showErrorMessage="1" showInputMessage="1">
          <x14:formula1>
            <xm:f>50</xm:f>
          </x14:formula1>
          <x14:formula2>
            <xm:f>500</xm:f>
          </x14:formula2>
          <xm:sqref>I82</xm:sqref>
        </x14:dataValidation>
        <x14:dataValidation xr:uid="{98262B01-78F2-4341-8176-B13E9181B347}" type="whole" allowBlank="1" error="Die eingegebenen Werte liegen außerhalb des erlaubten Bereichs: Zahlen von 1.000-10.000" errorStyle="stop" errorTitle="Ungültige Werte" imeMode="noControl" operator="between" prompt="Bitte geben Sie hier die maximale Blattzahl (Papier 80 g/m²) an, die in dem Großraummagazin verarbeitet werden kann." promptTitle="Manuelle Eingabe: Anzahl Blätter" showDropDown="0" showErrorMessage="1" showInputMessage="1">
          <x14:formula1>
            <xm:f>1000</xm:f>
          </x14:formula1>
          <x14:formula2>
            <xm:f>10000</xm:f>
          </x14:formula2>
          <xm:sqref>I50</xm:sqref>
        </x14:dataValidation>
        <x14:dataValidation xr:uid="{5A4FD001-5FE2-417D-89A8-B7160C82A956}" type="whole" allowBlank="1" error="Die eingegebenen Werte liegen außerhalb des erlaubten Bereichs: Zahlen von 2-6" errorStyle="stop" errorTitle="Ungültige Werte" imeMode="noControl" operator="between" prompt="Bitte die maximale Anzahl an Papierkassetten als numerischen Wert eingeben. Bei zwei Kassetten also bitte &quot;2&quot;." promptTitle="max. Anz. an Papierkassetten" showDropDown="0" showErrorMessage="1" showInputMessage="1">
          <x14:formula1>
            <xm:f>2</xm:f>
          </x14:formula1>
          <x14:formula2>
            <xm:f>6</xm:f>
          </x14:formula2>
          <xm:sqref>I48</xm:sqref>
        </x14:dataValidation>
        <x14:dataValidation xr:uid="{723A2D31-6F41-44B0-AEE5-47E69043ACCA}" type="whole" allowBlank="1" error="Die eingegebenen Werte liegen außerhalb des erlaubten Bereichs: Zahlen von 80-550" errorStyle="stop" errorTitle="Ungültige Werte" imeMode="noControl" operator="between" prompt="Bitte geben Sie die max. Grammatur für Duplexdrucke an." promptTitle="max. Duplexgrammatur" showDropDown="0" showErrorMessage="1" showInputMessage="1">
          <x14:formula1>
            <xm:f>80</xm:f>
          </x14:formula1>
          <x14:formula2>
            <xm:f>550</xm:f>
          </x14:formula2>
          <xm:sqref>I38</xm:sqref>
        </x14:dataValidation>
        <x14:dataValidation xr:uid="{7E951DB8-50D8-468A-97B9-E11A20A55696}" type="decimal" allowBlank="1" error="Die eingegebenen Werte liegen außerhalb des erlaubten Bereichs: Zahlen von 1-100" errorStyle="stop" errorTitle="Ungültige Werte" imeMode="noControl" operator="between" prompt="Geben Sie prozentual die max. Druckgeschw. im Duplexbetrieb an. Bsp.: Wenn das 30 S./min.-Gerät im Duplexmodus nur noch 20 S./min. schafft, geben Sie bitte &quot;66&quot; an." promptTitle="Druckgeschw. im Duplexmodus" showDropDown="0" showErrorMessage="1" showInputMessage="1">
          <x14:formula1>
            <xm:f>1</xm:f>
          </x14:formula1>
          <x14:formula2>
            <xm:f>100</xm:f>
          </x14:formula2>
          <xm:sqref>I39</xm:sqref>
        </x14:dataValidation>
        <x14:dataValidation xr:uid="{3A0DC43B-BA21-48D6-A666-627FB04DDD79}" type="whole" allowBlank="1" error="Eingaben sind nur zwischen 160-500 möglich." errorStyle="stop" errorTitle="Außerhalb d. zulässigen Bereichs" imeMode="noControl" operator="between" prompt="Bitte die Materialstärke in g/m² eingeben. (Eingaben zwischen 160-500 möglich)" promptTitle="Manuelle Eingabe: max. Grammatur" showDropDown="0" showErrorMessage="1" showInputMessage="1">
          <x14:formula1>
            <xm:f>160</xm:f>
          </x14:formula1>
          <x14:formula2>
            <xm:f>500</xm:f>
          </x14:formula2>
          <xm:sqref>I45</xm:sqref>
        </x14:dataValidation>
        <x14:dataValidation xr:uid="{EF498FC3-6810-4A77-88C0-039B0F23D4B0}" type="whole" allowBlank="1" error="Die eingegebenen Werte liegen außerhalb des erlaubten Bereichs: Zahlen von 160-500" errorStyle="stop" errorTitle="Ungültige Werte" imeMode="noControl" operator="between" prompt="Bitte die Materialstärke in g/m² eingeben. (Eingaben zwischen 160-500 möglich)" promptTitle="Antwort wählen" showDropDown="0" showErrorMessage="1" showInputMessage="1">
          <x14:formula1>
            <xm:f>160</xm:f>
          </x14:formula1>
          <x14:formula2>
            <xm:f>500</xm:f>
          </x14:formula2>
          <xm:sqref>I45</xm:sqref>
        </x14:dataValidation>
        <x14:dataValidation xr:uid="{183C84DC-9DA6-40A8-AEBD-7EFE89202ACD}" type="whole" allowBlank="1" error="Die eingegebenen Werte liegen außerhalb des erlaubten Bereichs: Zahlen von 500-5.000" errorStyle="stop" errorTitle="Mindestmenge beachten" imeMode="noControl" operator="between" prompt="Bitte geben Sie hier die maximale Blattzahl (Papier 80 g/m²) an, die in einer Papierkassette verarbeitet werden kann. (Mindestwert 500 beachten!)" promptTitle="Manuelle Eingabe: Anzahl Blätter" showDropDown="0" showErrorMessage="1" showInputMessage="1">
          <x14:formula1>
            <xm:f>500</xm:f>
          </x14:formula1>
          <x14:formula2>
            <xm:f>5000</xm:f>
          </x14:formula2>
          <xm:sqref>I43:I45</xm:sqref>
        </x14:dataValidation>
        <x14:dataValidation xr:uid="{C072BDB1-0386-407C-A861-0EA9A7DB4D08}" type="whole" allowBlank="1" error="Die eingegebenen Werte liegen außerhalb des erlaubten Bereichs: Zahlen von 10-500" errorStyle="stop" errorTitle="Ungültige Werte" imeMode="noControl" operator="between" prompt="Bitte geben Sie hier die maximale Scangeschwindigkeit für zweiseitige Dokumente an. (Werte zwischen 10-500)" promptTitle="Manuelle Eingabe: Scans pro min" showDropDown="0" showErrorMessage="1" showInputMessage="1">
          <x14:formula1>
            <xm:f>10</xm:f>
          </x14:formula1>
          <x14:formula2>
            <xm:f>500</xm:f>
          </x14:formula2>
          <xm:sqref>I89</xm:sqref>
        </x14:dataValidation>
        <x14:dataValidation xr:uid="{13FF7169-C50F-4BB4-8CB3-E529469BE088}" type="whole" allowBlank="1" error="Die eingegebenen Wete liegen außerhalb des erlaubten Bereichs: Zahlen von 20-300" errorStyle="stop" errorTitle="Ungültige Werte" imeMode="noControl" operator="between" prompt="Bitte geben Sie hier die maximale Scangeschwindigkeit für einseitige Dokumente an. (Werte zwischen 20-300)" promptTitle="Manuelle Eingabe: Scans pro min" showDropDown="0" showErrorMessage="1" showInputMessage="1">
          <x14:formula1>
            <xm:f>20</xm:f>
          </x14:formula1>
          <x14:formula2>
            <xm:f>300</xm:f>
          </x14:formula2>
          <xm:sqref>I88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Tabelle2">
    <outlinePr applyStyles="0" summaryBelow="1" summaryRight="1" showOutlineSymbols="1"/>
    <pageSetUpPr autoPageBreaks="1" fitToPage="1"/>
  </sheetPr>
  <sheetViews>
    <sheetView showGridLines="0" topLeftCell="A1" zoomScale="100" workbookViewId="0">
      <pane ySplit="5" topLeftCell="A6" activePane="bottomLeft" state="frozen"/>
      <selection activeCell="D105" activeCellId="0" sqref="D105"/>
    </sheetView>
  </sheetViews>
  <sheetFormatPr baseColWidth="10" defaultColWidth="11.46484375" defaultRowHeight="14.25" outlineLevelRow="1"/>
  <cols>
    <col customWidth="1" min="1" max="1" style="67" width="7"/>
    <col customWidth="1" min="2" max="2" style="77" width="73.796875"/>
    <col customWidth="1" min="3" max="3" style="78" width="7.796875"/>
    <col customWidth="1" min="4" max="4" style="78" width="6.19921875"/>
    <col customWidth="1" min="5" max="5" style="78" width="4.19921875"/>
    <col customWidth="1" min="6" max="6" style="54" width="4.796875"/>
    <col customWidth="1" min="7" max="7" style="54" width="6.796875"/>
    <col customWidth="1" min="8" max="8" style="79" width="10.796875"/>
    <col customWidth="1" min="9" max="9" style="78" width="18.796875"/>
    <col customWidth="1" hidden="1" min="10" max="10" style="69" width="15.33203125"/>
    <col customWidth="1" min="11" max="11" style="66" width="28.19921875"/>
    <col customWidth="1" min="12" max="12" style="66" width="14.796875"/>
    <col customWidth="1" min="13" max="13" style="66" width="11.46484375"/>
    <col customWidth="1" min="14" max="14" style="66" width="59"/>
    <col customWidth="1" min="15" max="15" style="66" width="11.46484375"/>
    <col min="16" max="16384" style="66" width="11.46484375"/>
  </cols>
  <sheetData>
    <row r="1" ht="6.5999999999999996" customHeight="1"/>
    <row r="2" ht="16.5">
      <c r="A2" s="80" t="s">
        <v>310</v>
      </c>
      <c r="D2" s="81"/>
      <c r="E2" s="66"/>
      <c r="F2" s="66"/>
      <c r="H2" s="82"/>
      <c r="I2" s="83"/>
      <c r="K2" s="82"/>
    </row>
    <row r="3">
      <c r="A3" s="67" t="s">
        <v>311</v>
      </c>
      <c r="D3" s="81"/>
      <c r="E3" s="66"/>
      <c r="F3" s="66"/>
      <c r="H3" s="82"/>
      <c r="I3" s="83"/>
      <c r="K3" s="82"/>
    </row>
    <row r="4" ht="13.9">
      <c r="A4" s="84"/>
      <c r="E4" s="66"/>
      <c r="F4" s="66"/>
    </row>
    <row r="5" s="85" customFormat="1" ht="67.5" customHeight="1">
      <c r="A5" s="47" t="s">
        <v>25</v>
      </c>
      <c r="B5" s="48" t="s">
        <v>26</v>
      </c>
      <c r="C5" s="49" t="s">
        <v>55</v>
      </c>
      <c r="D5" s="49" t="s">
        <v>56</v>
      </c>
      <c r="E5" s="49" t="s">
        <v>35</v>
      </c>
      <c r="F5" s="49" t="s">
        <v>36</v>
      </c>
      <c r="G5" s="49" t="s">
        <v>37</v>
      </c>
      <c r="H5" s="50" t="s">
        <v>38</v>
      </c>
      <c r="I5" s="51" t="s">
        <v>43</v>
      </c>
      <c r="J5" s="52" t="s">
        <v>57</v>
      </c>
      <c r="K5" s="53" t="s">
        <v>44</v>
      </c>
      <c r="L5" s="86"/>
      <c r="M5" s="86"/>
      <c r="N5" s="86"/>
      <c r="O5" s="86"/>
      <c r="P5" s="87"/>
      <c r="Q5" s="87"/>
    </row>
    <row r="6" ht="28.350000000000001" customHeight="1">
      <c r="A6" s="88" t="s">
        <v>77</v>
      </c>
      <c r="B6" s="89" t="s">
        <v>78</v>
      </c>
      <c r="C6" s="90"/>
      <c r="D6" s="90"/>
      <c r="E6" s="91"/>
      <c r="F6" s="92"/>
      <c r="G6" s="92"/>
      <c r="H6" s="93">
        <f>H7+H19+H29</f>
        <v>10.967741935483872</v>
      </c>
      <c r="I6" s="94"/>
      <c r="J6" s="95"/>
      <c r="K6" s="96"/>
      <c r="L6" s="86"/>
      <c r="M6" s="86"/>
      <c r="N6" s="86"/>
      <c r="O6" s="86"/>
      <c r="P6" s="86"/>
      <c r="Q6" s="86"/>
    </row>
    <row r="7" s="54" customFormat="1" ht="13.9">
      <c r="A7" s="97" t="s">
        <v>79</v>
      </c>
      <c r="B7" s="98" t="s">
        <v>80</v>
      </c>
      <c r="C7" s="99"/>
      <c r="D7" s="99"/>
      <c r="E7" s="100"/>
      <c r="F7" s="101"/>
      <c r="G7" s="101"/>
      <c r="H7" s="102">
        <f>SUM(H8:H18)</f>
        <v>3.8709677419354835</v>
      </c>
      <c r="I7" s="99"/>
      <c r="J7" s="99"/>
      <c r="K7" s="103"/>
      <c r="L7" s="104"/>
      <c r="M7" s="104"/>
      <c r="N7" s="104"/>
      <c r="O7" s="104"/>
      <c r="P7" s="104"/>
      <c r="Q7" s="104"/>
    </row>
    <row r="8" s="105" customFormat="1" ht="114.75" customHeight="1" outlineLevel="1">
      <c r="A8" s="106" t="s">
        <v>81</v>
      </c>
      <c r="B8" s="107" t="s">
        <v>82</v>
      </c>
      <c r="C8" s="108" t="s">
        <v>12</v>
      </c>
      <c r="D8" s="108" t="s">
        <v>18</v>
      </c>
      <c r="E8" s="108"/>
      <c r="F8" s="109"/>
      <c r="G8" s="109" t="str">
        <f t="shared" ref="G8:G18" si="33">IF(E8="","",E8*F8)</f>
        <v/>
      </c>
      <c r="H8" s="110" t="str">
        <f t="shared" ref="H8:H18" si="34">IF(E8="","",100/$G$108*G8)</f>
        <v/>
      </c>
      <c r="I8" s="111"/>
      <c r="J8" s="108"/>
      <c r="L8" s="109"/>
      <c r="M8" s="109"/>
      <c r="N8" s="112"/>
      <c r="O8" s="112"/>
      <c r="P8" s="109"/>
      <c r="Q8" s="109"/>
    </row>
    <row r="9" s="54" customFormat="1" outlineLevel="1">
      <c r="A9" s="67" t="s">
        <v>83</v>
      </c>
      <c r="B9" s="68" t="s">
        <v>84</v>
      </c>
      <c r="C9" s="69" t="s">
        <v>12</v>
      </c>
      <c r="D9" s="69" t="s">
        <v>18</v>
      </c>
      <c r="E9" s="69"/>
      <c r="G9" s="54" t="str">
        <f t="shared" si="33"/>
        <v/>
      </c>
      <c r="H9" s="70" t="str">
        <f t="shared" si="34"/>
        <v/>
      </c>
      <c r="I9" s="113"/>
      <c r="J9" s="71"/>
      <c r="L9" s="104"/>
      <c r="M9" s="114"/>
      <c r="N9" s="86"/>
      <c r="O9" s="86"/>
      <c r="P9" s="104"/>
      <c r="Q9" s="104"/>
    </row>
    <row r="10" s="115" customFormat="1" outlineLevel="1">
      <c r="A10" s="116" t="s">
        <v>85</v>
      </c>
      <c r="B10" s="117" t="s">
        <v>86</v>
      </c>
      <c r="C10" s="118" t="s">
        <v>7</v>
      </c>
      <c r="D10" s="118" t="s">
        <v>20</v>
      </c>
      <c r="E10" s="118"/>
      <c r="G10" s="115" t="str">
        <f t="shared" si="33"/>
        <v/>
      </c>
      <c r="H10" s="119" t="str">
        <f t="shared" si="34"/>
        <v/>
      </c>
      <c r="I10" s="113" t="s">
        <v>64</v>
      </c>
      <c r="J10" s="118"/>
      <c r="L10" s="120"/>
      <c r="M10" s="121"/>
      <c r="N10" s="122"/>
      <c r="O10" s="122"/>
      <c r="P10" s="120"/>
      <c r="Q10" s="120"/>
    </row>
    <row r="11" s="115" customFormat="1" ht="13.9" outlineLevel="1">
      <c r="A11" s="116" t="s">
        <v>87</v>
      </c>
      <c r="B11" s="117" t="s">
        <v>312</v>
      </c>
      <c r="C11" s="118" t="s">
        <v>7</v>
      </c>
      <c r="D11" s="118" t="s">
        <v>20</v>
      </c>
      <c r="E11" s="118"/>
      <c r="G11" s="115" t="str">
        <f t="shared" si="33"/>
        <v/>
      </c>
      <c r="H11" s="119" t="str">
        <f t="shared" si="34"/>
        <v/>
      </c>
      <c r="I11" s="113" t="s">
        <v>64</v>
      </c>
      <c r="J11" s="118"/>
      <c r="L11" s="120"/>
      <c r="M11" s="120"/>
      <c r="N11" s="122"/>
      <c r="O11" s="122"/>
      <c r="P11" s="120"/>
      <c r="Q11" s="120"/>
    </row>
    <row r="12" s="115" customFormat="1" outlineLevel="1">
      <c r="A12" s="116" t="s">
        <v>89</v>
      </c>
      <c r="B12" s="117" t="s">
        <v>269</v>
      </c>
      <c r="C12" s="118" t="s">
        <v>7</v>
      </c>
      <c r="D12" s="118" t="s">
        <v>20</v>
      </c>
      <c r="E12" s="118"/>
      <c r="G12" s="115" t="str">
        <f t="shared" si="33"/>
        <v/>
      </c>
      <c r="H12" s="119" t="str">
        <f t="shared" si="34"/>
        <v/>
      </c>
      <c r="I12" s="113" t="s">
        <v>64</v>
      </c>
      <c r="J12" s="118"/>
      <c r="L12" s="120"/>
      <c r="M12" s="120"/>
      <c r="N12" s="120"/>
      <c r="O12" s="122"/>
      <c r="P12" s="120"/>
      <c r="Q12" s="120"/>
    </row>
    <row r="13" s="115" customFormat="1" outlineLevel="1">
      <c r="A13" s="116" t="s">
        <v>91</v>
      </c>
      <c r="B13" s="117" t="s">
        <v>270</v>
      </c>
      <c r="C13" s="118" t="s">
        <v>7</v>
      </c>
      <c r="D13" s="118" t="s">
        <v>20</v>
      </c>
      <c r="E13" s="118"/>
      <c r="G13" s="115" t="str">
        <f>IF(E13="","",E13*F13)</f>
        <v/>
      </c>
      <c r="H13" s="119" t="str">
        <f t="shared" si="34"/>
        <v/>
      </c>
      <c r="I13" s="113" t="s">
        <v>64</v>
      </c>
      <c r="J13" s="118"/>
      <c r="L13" s="120"/>
      <c r="M13" s="120"/>
      <c r="N13" s="120"/>
      <c r="O13" s="120"/>
      <c r="P13" s="120"/>
      <c r="Q13" s="120"/>
    </row>
    <row r="14" s="105" customFormat="1" ht="42.75" outlineLevel="1">
      <c r="A14" s="123" t="s">
        <v>94</v>
      </c>
      <c r="B14" s="124" t="s">
        <v>92</v>
      </c>
      <c r="C14" s="125" t="s">
        <v>10</v>
      </c>
      <c r="D14" s="125" t="s">
        <v>18</v>
      </c>
      <c r="E14" s="125">
        <v>5</v>
      </c>
      <c r="F14" s="105">
        <v>10</v>
      </c>
      <c r="G14" s="105">
        <f t="shared" si="33"/>
        <v>50</v>
      </c>
      <c r="H14" s="126">
        <f t="shared" si="34"/>
        <v>3.225806451612903</v>
      </c>
      <c r="I14" s="113"/>
      <c r="J14" s="125">
        <f>IF(I14=512,0,IF(AND(I14&lt;1024,I14&gt;512),5*5,IF(I14&gt;=1024,10*5,0)))</f>
        <v>0</v>
      </c>
      <c r="K14" s="124" t="s">
        <v>271</v>
      </c>
      <c r="L14" s="109"/>
      <c r="M14" s="109"/>
      <c r="N14" s="109"/>
      <c r="O14" s="109"/>
      <c r="P14" s="109"/>
      <c r="Q14" s="109"/>
    </row>
    <row r="15" s="105" customFormat="1" ht="28.5" outlineLevel="1">
      <c r="A15" s="123" t="s">
        <v>96</v>
      </c>
      <c r="B15" s="124" t="s">
        <v>95</v>
      </c>
      <c r="C15" s="125" t="s">
        <v>10</v>
      </c>
      <c r="D15" s="125" t="s">
        <v>20</v>
      </c>
      <c r="E15" s="125">
        <v>1</v>
      </c>
      <c r="F15" s="105">
        <v>10</v>
      </c>
      <c r="G15" s="105">
        <f t="shared" si="33"/>
        <v>10</v>
      </c>
      <c r="H15" s="126">
        <f t="shared" si="34"/>
        <v>0.64516129032258063</v>
      </c>
      <c r="I15" s="113" t="s">
        <v>64</v>
      </c>
      <c r="J15" s="125">
        <f>IF(I15="ja",10,0)</f>
        <v>0</v>
      </c>
      <c r="K15" s="124" t="s">
        <v>65</v>
      </c>
      <c r="L15" s="109"/>
      <c r="M15" s="109"/>
      <c r="N15" s="109"/>
      <c r="O15" s="109"/>
      <c r="P15" s="109"/>
      <c r="Q15" s="109"/>
    </row>
    <row r="16" s="115" customFormat="1" ht="42.75" outlineLevel="1">
      <c r="A16" s="116" t="s">
        <v>98</v>
      </c>
      <c r="B16" s="117" t="s">
        <v>97</v>
      </c>
      <c r="C16" s="118" t="s">
        <v>7</v>
      </c>
      <c r="D16" s="118" t="s">
        <v>20</v>
      </c>
      <c r="E16" s="118"/>
      <c r="G16" s="115" t="str">
        <f t="shared" si="33"/>
        <v/>
      </c>
      <c r="H16" s="119" t="str">
        <f t="shared" si="34"/>
        <v/>
      </c>
      <c r="I16" s="113" t="s">
        <v>64</v>
      </c>
      <c r="J16" s="118"/>
      <c r="L16" s="120"/>
      <c r="M16" s="120"/>
      <c r="N16" s="120"/>
      <c r="O16" s="120"/>
      <c r="P16" s="120"/>
      <c r="Q16" s="120"/>
    </row>
    <row r="17" s="115" customFormat="1" ht="19.5" customHeight="1" outlineLevel="1">
      <c r="A17" s="116" t="s">
        <v>100</v>
      </c>
      <c r="B17" s="117" t="s">
        <v>99</v>
      </c>
      <c r="C17" s="118" t="s">
        <v>7</v>
      </c>
      <c r="D17" s="118" t="s">
        <v>20</v>
      </c>
      <c r="E17" s="118"/>
      <c r="G17" s="115" t="str">
        <f t="shared" si="33"/>
        <v/>
      </c>
      <c r="H17" s="119" t="str">
        <f t="shared" si="34"/>
        <v/>
      </c>
      <c r="I17" s="113" t="s">
        <v>64</v>
      </c>
      <c r="J17" s="118"/>
    </row>
    <row r="18" s="115" customFormat="1" ht="42.75" outlineLevel="1">
      <c r="A18" s="116" t="s">
        <v>272</v>
      </c>
      <c r="B18" s="117" t="s">
        <v>273</v>
      </c>
      <c r="C18" s="118" t="s">
        <v>7</v>
      </c>
      <c r="D18" s="118" t="s">
        <v>20</v>
      </c>
      <c r="E18" s="118"/>
      <c r="G18" s="115" t="str">
        <f t="shared" si="33"/>
        <v/>
      </c>
      <c r="H18" s="119" t="str">
        <f t="shared" si="34"/>
        <v/>
      </c>
      <c r="I18" s="113" t="s">
        <v>64</v>
      </c>
      <c r="J18" s="118">
        <f>IF(I18="ja",20,0)</f>
        <v>0</v>
      </c>
      <c r="K18" s="117"/>
    </row>
    <row r="19" s="54" customFormat="1" ht="13.9">
      <c r="A19" s="97" t="s">
        <v>102</v>
      </c>
      <c r="B19" s="98" t="s">
        <v>103</v>
      </c>
      <c r="C19" s="99"/>
      <c r="D19" s="99"/>
      <c r="E19" s="127"/>
      <c r="F19" s="101"/>
      <c r="G19" s="101"/>
      <c r="H19" s="102">
        <f>SUM(H20:H25)</f>
        <v>3.870967741935484</v>
      </c>
      <c r="I19" s="99"/>
      <c r="J19" s="99"/>
      <c r="K19" s="103"/>
    </row>
    <row r="20" s="115" customFormat="1" outlineLevel="1">
      <c r="A20" s="116" t="s">
        <v>104</v>
      </c>
      <c r="B20" s="117" t="s">
        <v>105</v>
      </c>
      <c r="C20" s="118" t="s">
        <v>7</v>
      </c>
      <c r="D20" s="118" t="s">
        <v>20</v>
      </c>
      <c r="E20" s="118"/>
      <c r="G20" s="115" t="str">
        <f t="shared" ref="G20:G83" si="35">IF(E20="","",E20*F20)</f>
        <v/>
      </c>
      <c r="H20" s="119" t="str">
        <f t="shared" ref="H20:H28" si="36">IF(E20="","",100/$G$108*G20)</f>
        <v/>
      </c>
      <c r="I20" s="128" t="s">
        <v>64</v>
      </c>
      <c r="J20" s="118"/>
    </row>
    <row r="21" s="105" customFormat="1" ht="28.5" outlineLevel="1">
      <c r="A21" s="123" t="s">
        <v>106</v>
      </c>
      <c r="B21" s="124" t="s">
        <v>107</v>
      </c>
      <c r="C21" s="125" t="s">
        <v>10</v>
      </c>
      <c r="D21" s="125" t="s">
        <v>20</v>
      </c>
      <c r="E21" s="125">
        <v>3</v>
      </c>
      <c r="F21" s="105">
        <v>10</v>
      </c>
      <c r="G21" s="105">
        <f t="shared" si="35"/>
        <v>30</v>
      </c>
      <c r="H21" s="126">
        <f t="shared" si="36"/>
        <v>1.935483870967742</v>
      </c>
      <c r="I21" s="128" t="s">
        <v>64</v>
      </c>
      <c r="J21" s="125">
        <f>IF(I21="ja",30,0)</f>
        <v>0</v>
      </c>
      <c r="K21" s="124" t="s">
        <v>65</v>
      </c>
    </row>
    <row r="22" s="115" customFormat="1" outlineLevel="1">
      <c r="A22" s="116" t="s">
        <v>108</v>
      </c>
      <c r="B22" s="117" t="s">
        <v>109</v>
      </c>
      <c r="C22" s="118" t="s">
        <v>7</v>
      </c>
      <c r="D22" s="118" t="s">
        <v>20</v>
      </c>
      <c r="E22" s="118"/>
      <c r="G22" s="115" t="str">
        <f t="shared" si="35"/>
        <v/>
      </c>
      <c r="H22" s="119" t="str">
        <f t="shared" si="36"/>
        <v/>
      </c>
      <c r="I22" s="128" t="s">
        <v>64</v>
      </c>
      <c r="J22" s="118"/>
    </row>
    <row r="23" s="105" customFormat="1" ht="28.5" outlineLevel="1">
      <c r="A23" s="123" t="s">
        <v>110</v>
      </c>
      <c r="B23" s="124" t="s">
        <v>111</v>
      </c>
      <c r="C23" s="125" t="s">
        <v>10</v>
      </c>
      <c r="D23" s="125" t="s">
        <v>20</v>
      </c>
      <c r="E23" s="125">
        <v>3</v>
      </c>
      <c r="F23" s="105">
        <v>10</v>
      </c>
      <c r="G23" s="105">
        <f t="shared" si="35"/>
        <v>30</v>
      </c>
      <c r="H23" s="126">
        <f t="shared" si="36"/>
        <v>1.935483870967742</v>
      </c>
      <c r="I23" s="128" t="s">
        <v>64</v>
      </c>
      <c r="J23" s="125">
        <f>IF(I23="ja",30,0)</f>
        <v>0</v>
      </c>
      <c r="K23" s="124" t="s">
        <v>65</v>
      </c>
    </row>
    <row r="24" s="115" customFormat="1" outlineLevel="1">
      <c r="A24" s="116" t="s">
        <v>112</v>
      </c>
      <c r="B24" s="146" t="s">
        <v>113</v>
      </c>
      <c r="C24" s="118" t="s">
        <v>7</v>
      </c>
      <c r="D24" s="118" t="s">
        <v>20</v>
      </c>
      <c r="E24" s="118"/>
      <c r="G24" s="115" t="str">
        <f t="shared" si="35"/>
        <v/>
      </c>
      <c r="H24" s="119" t="str">
        <f t="shared" si="36"/>
        <v/>
      </c>
      <c r="I24" s="128" t="s">
        <v>64</v>
      </c>
      <c r="J24" s="118"/>
    </row>
    <row r="25" s="115" customFormat="1" outlineLevel="1">
      <c r="A25" s="116" t="s">
        <v>114</v>
      </c>
      <c r="B25" s="117" t="s">
        <v>115</v>
      </c>
      <c r="C25" s="118" t="s">
        <v>7</v>
      </c>
      <c r="D25" s="118" t="s">
        <v>20</v>
      </c>
      <c r="E25" s="118"/>
      <c r="G25" s="115" t="str">
        <f t="shared" si="35"/>
        <v/>
      </c>
      <c r="H25" s="119" t="str">
        <f t="shared" si="36"/>
        <v/>
      </c>
      <c r="I25" s="128" t="s">
        <v>64</v>
      </c>
      <c r="J25" s="118"/>
    </row>
    <row r="26" s="54" customFormat="1" ht="21.75" customHeight="1">
      <c r="A26" s="62" t="s">
        <v>116</v>
      </c>
      <c r="B26" s="63" t="s">
        <v>117</v>
      </c>
      <c r="C26" s="63"/>
      <c r="D26" s="63"/>
      <c r="E26" s="63"/>
      <c r="F26" s="63"/>
      <c r="G26" s="63"/>
      <c r="H26" s="64">
        <v>0</v>
      </c>
      <c r="I26" s="65"/>
      <c r="J26" s="63"/>
      <c r="K26" s="63"/>
    </row>
    <row r="27" s="115" customFormat="1" ht="71.25" outlineLevel="1">
      <c r="A27" s="116" t="s">
        <v>118</v>
      </c>
      <c r="B27" s="117" t="s">
        <v>119</v>
      </c>
      <c r="C27" s="118" t="s">
        <v>7</v>
      </c>
      <c r="D27" s="118" t="s">
        <v>20</v>
      </c>
      <c r="E27" s="118"/>
      <c r="G27" s="115" t="str">
        <f t="shared" si="35"/>
        <v/>
      </c>
      <c r="H27" s="119" t="str">
        <f t="shared" si="36"/>
        <v/>
      </c>
      <c r="I27" s="128" t="s">
        <v>64</v>
      </c>
      <c r="J27" s="118"/>
    </row>
    <row r="28" s="115" customFormat="1" ht="42.75" outlineLevel="1">
      <c r="A28" s="116" t="s">
        <v>120</v>
      </c>
      <c r="B28" s="117" t="s">
        <v>121</v>
      </c>
      <c r="C28" s="118" t="s">
        <v>7</v>
      </c>
      <c r="D28" s="118" t="s">
        <v>20</v>
      </c>
      <c r="E28" s="118"/>
      <c r="G28" s="115" t="str">
        <f t="shared" si="35"/>
        <v/>
      </c>
      <c r="H28" s="119" t="str">
        <f t="shared" si="36"/>
        <v/>
      </c>
      <c r="I28" s="128" t="s">
        <v>64</v>
      </c>
      <c r="J28" s="118"/>
    </row>
    <row r="29" s="54" customFormat="1" ht="13.9">
      <c r="A29" s="62" t="s">
        <v>122</v>
      </c>
      <c r="B29" s="63" t="s">
        <v>123</v>
      </c>
      <c r="C29" s="63"/>
      <c r="D29" s="63"/>
      <c r="E29" s="63"/>
      <c r="F29" s="63"/>
      <c r="G29" s="63"/>
      <c r="H29" s="102">
        <f>SUM(H30:H31)</f>
        <v>3.225806451612903</v>
      </c>
      <c r="I29" s="65"/>
      <c r="J29" s="63"/>
      <c r="K29" s="63"/>
    </row>
    <row r="30" s="138" customFormat="1" outlineLevel="1">
      <c r="A30" s="116" t="s">
        <v>124</v>
      </c>
      <c r="B30" s="146" t="s">
        <v>313</v>
      </c>
      <c r="C30" s="118" t="s">
        <v>7</v>
      </c>
      <c r="D30" s="118" t="s">
        <v>20</v>
      </c>
      <c r="E30" s="118"/>
      <c r="F30" s="115"/>
      <c r="G30" s="115" t="str">
        <f t="shared" si="35"/>
        <v/>
      </c>
      <c r="H30" s="119" t="str">
        <f t="shared" ref="H30:H31" si="37">IF(E30="","",100/$G$108*G30)</f>
        <v/>
      </c>
      <c r="I30" s="128" t="s">
        <v>64</v>
      </c>
      <c r="J30" s="118"/>
      <c r="K30" s="117"/>
      <c r="L30" s="115"/>
      <c r="M30" s="115"/>
      <c r="N30" s="115"/>
    </row>
    <row r="31" s="105" customFormat="1" ht="28.5">
      <c r="A31" s="181" t="s">
        <v>314</v>
      </c>
      <c r="B31" s="182" t="s">
        <v>315</v>
      </c>
      <c r="C31" s="183" t="s">
        <v>10</v>
      </c>
      <c r="D31" s="183" t="s">
        <v>20</v>
      </c>
      <c r="E31" s="182">
        <v>5</v>
      </c>
      <c r="F31" s="182">
        <v>10</v>
      </c>
      <c r="G31" s="182">
        <f t="shared" si="35"/>
        <v>50</v>
      </c>
      <c r="H31" s="184">
        <f t="shared" si="37"/>
        <v>3.225806451612903</v>
      </c>
      <c r="I31" s="185" t="s">
        <v>64</v>
      </c>
      <c r="J31" s="186"/>
      <c r="K31" s="187" t="s">
        <v>65</v>
      </c>
    </row>
    <row r="32" ht="28.350000000000001" customHeight="1">
      <c r="A32" s="131" t="s">
        <v>126</v>
      </c>
      <c r="B32" s="132" t="s">
        <v>127</v>
      </c>
      <c r="C32" s="133"/>
      <c r="D32" s="133"/>
      <c r="E32" s="58"/>
      <c r="F32" s="134"/>
      <c r="G32" s="134"/>
      <c r="H32" s="60">
        <f>H33+H42+H53</f>
        <v>24.516129032258061</v>
      </c>
      <c r="I32" s="135"/>
      <c r="J32" s="136"/>
      <c r="K32" s="59"/>
      <c r="L32" s="67"/>
      <c r="M32" s="54"/>
      <c r="N32" s="54"/>
    </row>
    <row r="33" ht="13.9">
      <c r="A33" s="62" t="s">
        <v>128</v>
      </c>
      <c r="B33" s="63" t="s">
        <v>129</v>
      </c>
      <c r="C33" s="63"/>
      <c r="D33" s="63"/>
      <c r="E33" s="63"/>
      <c r="F33" s="63"/>
      <c r="G33" s="63"/>
      <c r="H33" s="64">
        <f>SUM(H34:H41)</f>
        <v>19.999999999999996</v>
      </c>
      <c r="I33" s="65"/>
      <c r="J33" s="63"/>
      <c r="K33" s="63"/>
      <c r="L33" s="54"/>
      <c r="M33" s="54"/>
      <c r="N33" s="54"/>
    </row>
    <row r="34" s="115" customFormat="1" ht="13.9" outlineLevel="1">
      <c r="A34" s="116" t="s">
        <v>130</v>
      </c>
      <c r="B34" s="117" t="s">
        <v>316</v>
      </c>
      <c r="C34" s="118" t="s">
        <v>7</v>
      </c>
      <c r="D34" s="118" t="s">
        <v>20</v>
      </c>
      <c r="E34" s="118"/>
      <c r="G34" s="115" t="str">
        <f t="shared" si="35"/>
        <v/>
      </c>
      <c r="H34" s="119" t="str">
        <f t="shared" ref="H34:H41" si="38">IF(E34="","",100/$G$108*G34)</f>
        <v/>
      </c>
      <c r="I34" s="128" t="s">
        <v>64</v>
      </c>
      <c r="J34" s="118"/>
      <c r="M34" s="116"/>
    </row>
    <row r="35" s="115" customFormat="1" outlineLevel="1">
      <c r="A35" s="116" t="s">
        <v>132</v>
      </c>
      <c r="B35" s="117" t="s">
        <v>133</v>
      </c>
      <c r="C35" s="118" t="s">
        <v>7</v>
      </c>
      <c r="D35" s="118" t="s">
        <v>20</v>
      </c>
      <c r="E35" s="118"/>
      <c r="G35" s="115" t="str">
        <f t="shared" si="35"/>
        <v/>
      </c>
      <c r="H35" s="119" t="str">
        <f t="shared" si="38"/>
        <v/>
      </c>
      <c r="I35" s="128" t="s">
        <v>64</v>
      </c>
      <c r="J35" s="118"/>
    </row>
    <row r="36" s="115" customFormat="1" outlineLevel="1">
      <c r="A36" s="116" t="s">
        <v>134</v>
      </c>
      <c r="B36" s="117" t="s">
        <v>135</v>
      </c>
      <c r="C36" s="118" t="s">
        <v>7</v>
      </c>
      <c r="D36" s="118" t="s">
        <v>20</v>
      </c>
      <c r="E36" s="118"/>
      <c r="G36" s="115" t="str">
        <f t="shared" si="35"/>
        <v/>
      </c>
      <c r="H36" s="119" t="str">
        <f t="shared" si="38"/>
        <v/>
      </c>
      <c r="I36" s="128" t="s">
        <v>64</v>
      </c>
      <c r="J36" s="118"/>
    </row>
    <row r="37" s="105" customFormat="1" ht="40.5" customHeight="1" outlineLevel="1">
      <c r="A37" s="123" t="s">
        <v>136</v>
      </c>
      <c r="B37" s="124" t="s">
        <v>137</v>
      </c>
      <c r="C37" s="125" t="s">
        <v>10</v>
      </c>
      <c r="D37" s="125" t="s">
        <v>20</v>
      </c>
      <c r="E37" s="125">
        <v>20</v>
      </c>
      <c r="F37" s="105">
        <v>10</v>
      </c>
      <c r="G37" s="105">
        <f t="shared" si="35"/>
        <v>200</v>
      </c>
      <c r="H37" s="126">
        <f t="shared" si="38"/>
        <v>12.903225806451612</v>
      </c>
      <c r="I37" s="128" t="s">
        <v>64</v>
      </c>
      <c r="J37" s="125">
        <f>IF(I37="ja",200,0)</f>
        <v>0</v>
      </c>
      <c r="K37" s="124" t="s">
        <v>65</v>
      </c>
    </row>
    <row r="38" s="115" customFormat="1" outlineLevel="1">
      <c r="A38" s="116" t="s">
        <v>138</v>
      </c>
      <c r="B38" s="117" t="s">
        <v>139</v>
      </c>
      <c r="C38" s="118" t="s">
        <v>7</v>
      </c>
      <c r="D38" s="118" t="s">
        <v>20</v>
      </c>
      <c r="E38" s="118"/>
      <c r="G38" s="115" t="str">
        <f t="shared" si="35"/>
        <v/>
      </c>
      <c r="H38" s="119" t="str">
        <f t="shared" si="38"/>
        <v/>
      </c>
      <c r="I38" s="128" t="s">
        <v>64</v>
      </c>
      <c r="J38" s="118"/>
      <c r="K38" s="117"/>
    </row>
    <row r="39" s="105" customFormat="1" ht="57" outlineLevel="1">
      <c r="A39" s="123" t="s">
        <v>140</v>
      </c>
      <c r="B39" s="124" t="s">
        <v>141</v>
      </c>
      <c r="C39" s="125" t="s">
        <v>10</v>
      </c>
      <c r="D39" s="125" t="s">
        <v>18</v>
      </c>
      <c r="E39" s="125">
        <v>10</v>
      </c>
      <c r="F39" s="105">
        <v>10</v>
      </c>
      <c r="G39" s="105">
        <f t="shared" si="35"/>
        <v>100</v>
      </c>
      <c r="H39" s="126">
        <f t="shared" si="38"/>
        <v>6.4516129032258061</v>
      </c>
      <c r="I39" s="128"/>
      <c r="J39" s="125">
        <f>IF(I39&gt;=160,100,IF(I39&gt;=120,50,IF(I39&gt;=100,20,0)))</f>
        <v>0</v>
      </c>
      <c r="K39" s="124" t="s">
        <v>142</v>
      </c>
    </row>
    <row r="40" s="105" customFormat="1" ht="42.75" outlineLevel="1">
      <c r="A40" s="123" t="s">
        <v>143</v>
      </c>
      <c r="B40" s="124" t="s">
        <v>144</v>
      </c>
      <c r="C40" s="125" t="s">
        <v>10</v>
      </c>
      <c r="D40" s="125" t="s">
        <v>20</v>
      </c>
      <c r="E40" s="125">
        <v>1</v>
      </c>
      <c r="F40" s="105">
        <v>10</v>
      </c>
      <c r="G40" s="105">
        <f t="shared" si="35"/>
        <v>10</v>
      </c>
      <c r="H40" s="126">
        <f t="shared" si="38"/>
        <v>0.64516129032258063</v>
      </c>
      <c r="I40" s="128"/>
      <c r="J40" s="125">
        <f>IF(I40=100,10,IF(I40&gt;=60,5,0))</f>
        <v>0</v>
      </c>
      <c r="K40" s="137" t="s">
        <v>145</v>
      </c>
    </row>
    <row r="41" s="115" customFormat="1" ht="34.5" customHeight="1" outlineLevel="1">
      <c r="A41" s="116" t="s">
        <v>146</v>
      </c>
      <c r="B41" s="117" t="s">
        <v>149</v>
      </c>
      <c r="C41" s="118" t="s">
        <v>7</v>
      </c>
      <c r="D41" s="118" t="s">
        <v>20</v>
      </c>
      <c r="E41" s="118"/>
      <c r="G41" s="115" t="str">
        <f t="shared" si="35"/>
        <v/>
      </c>
      <c r="H41" s="119" t="str">
        <f t="shared" si="38"/>
        <v/>
      </c>
      <c r="I41" s="128" t="s">
        <v>64</v>
      </c>
      <c r="J41" s="118"/>
    </row>
    <row r="42" s="54" customFormat="1" ht="13.9">
      <c r="A42" s="62" t="s">
        <v>150</v>
      </c>
      <c r="B42" s="63" t="s">
        <v>151</v>
      </c>
      <c r="C42" s="63"/>
      <c r="D42" s="63"/>
      <c r="E42" s="63"/>
      <c r="F42" s="63"/>
      <c r="G42" s="63"/>
      <c r="H42" s="64">
        <f>SUM(H43:H52)</f>
        <v>1.935483870967742</v>
      </c>
      <c r="I42" s="65"/>
      <c r="J42" s="63"/>
      <c r="K42" s="63"/>
    </row>
    <row r="43" s="115" customFormat="1" ht="28.5" outlineLevel="1">
      <c r="A43" s="116" t="s">
        <v>152</v>
      </c>
      <c r="B43" s="117" t="s">
        <v>277</v>
      </c>
      <c r="C43" s="118" t="s">
        <v>7</v>
      </c>
      <c r="D43" s="118" t="s">
        <v>20</v>
      </c>
      <c r="E43" s="118"/>
      <c r="H43" s="119"/>
      <c r="I43" s="128" t="s">
        <v>64</v>
      </c>
      <c r="J43" s="118"/>
    </row>
    <row r="44" s="54" customFormat="1" outlineLevel="1">
      <c r="A44" s="67" t="s">
        <v>154</v>
      </c>
      <c r="B44" s="68" t="s">
        <v>162</v>
      </c>
      <c r="C44" s="69" t="s">
        <v>12</v>
      </c>
      <c r="D44" s="69" t="s">
        <v>18</v>
      </c>
      <c r="E44" s="69"/>
      <c r="H44" s="70"/>
      <c r="I44" s="128"/>
      <c r="J44" s="71"/>
      <c r="K44" s="68"/>
    </row>
    <row r="45" s="138" customFormat="1" ht="28.5" outlineLevel="1">
      <c r="A45" s="116" t="s">
        <v>156</v>
      </c>
      <c r="B45" s="117" t="s">
        <v>317</v>
      </c>
      <c r="C45" s="118" t="s">
        <v>7</v>
      </c>
      <c r="D45" s="118" t="s">
        <v>20</v>
      </c>
      <c r="E45" s="118"/>
      <c r="F45" s="115"/>
      <c r="G45" s="115"/>
      <c r="H45" s="119"/>
      <c r="I45" s="128" t="s">
        <v>64</v>
      </c>
      <c r="J45" s="118"/>
      <c r="K45" s="117"/>
    </row>
    <row r="46" s="115" customFormat="1" ht="28.5" outlineLevel="1">
      <c r="A46" s="116" t="s">
        <v>159</v>
      </c>
      <c r="B46" s="117" t="s">
        <v>281</v>
      </c>
      <c r="C46" s="118" t="s">
        <v>7</v>
      </c>
      <c r="D46" s="118" t="s">
        <v>20</v>
      </c>
      <c r="E46" s="118"/>
      <c r="H46" s="119"/>
      <c r="I46" s="128" t="s">
        <v>64</v>
      </c>
      <c r="J46" s="118"/>
      <c r="M46" s="116"/>
    </row>
    <row r="47" s="115" customFormat="1" ht="28.5" outlineLevel="1">
      <c r="A47" s="116" t="s">
        <v>161</v>
      </c>
      <c r="B47" s="117" t="s">
        <v>282</v>
      </c>
      <c r="C47" s="118" t="s">
        <v>7</v>
      </c>
      <c r="D47" s="118" t="s">
        <v>20</v>
      </c>
      <c r="E47" s="118"/>
      <c r="H47" s="119"/>
      <c r="I47" s="128" t="s">
        <v>64</v>
      </c>
      <c r="J47" s="118"/>
      <c r="M47" s="116"/>
    </row>
    <row r="48" s="54" customFormat="1" ht="28.5" outlineLevel="1">
      <c r="A48" s="67" t="s">
        <v>163</v>
      </c>
      <c r="B48" s="68" t="s">
        <v>283</v>
      </c>
      <c r="C48" s="69" t="s">
        <v>12</v>
      </c>
      <c r="D48" s="69" t="s">
        <v>18</v>
      </c>
      <c r="E48" s="69"/>
      <c r="H48" s="70"/>
      <c r="I48" s="128"/>
      <c r="J48" s="71"/>
      <c r="M48" s="67"/>
    </row>
    <row r="49" s="138" customFormat="1" ht="28.5" outlineLevel="1">
      <c r="A49" s="116" t="s">
        <v>165</v>
      </c>
      <c r="B49" s="117" t="s">
        <v>285</v>
      </c>
      <c r="C49" s="118" t="s">
        <v>7</v>
      </c>
      <c r="D49" s="118" t="s">
        <v>20</v>
      </c>
      <c r="E49" s="118"/>
      <c r="F49" s="115"/>
      <c r="G49" s="115"/>
      <c r="H49" s="119"/>
      <c r="I49" s="128" t="s">
        <v>64</v>
      </c>
      <c r="J49" s="118"/>
      <c r="K49" s="115"/>
    </row>
    <row r="50" ht="28.5" outlineLevel="1">
      <c r="A50" s="67" t="s">
        <v>284</v>
      </c>
      <c r="B50" s="68" t="s">
        <v>287</v>
      </c>
      <c r="C50" s="69" t="s">
        <v>12</v>
      </c>
      <c r="D50" s="69" t="s">
        <v>18</v>
      </c>
      <c r="E50" s="69"/>
      <c r="H50" s="70"/>
      <c r="I50" s="128"/>
      <c r="J50" s="71"/>
      <c r="K50" s="68"/>
    </row>
    <row r="51" s="130" customFormat="1" ht="28.5" outlineLevel="1">
      <c r="A51" s="123" t="s">
        <v>286</v>
      </c>
      <c r="B51" s="124" t="s">
        <v>318</v>
      </c>
      <c r="C51" s="125" t="s">
        <v>10</v>
      </c>
      <c r="D51" s="125" t="s">
        <v>20</v>
      </c>
      <c r="E51" s="125">
        <v>3</v>
      </c>
      <c r="F51" s="105">
        <v>10</v>
      </c>
      <c r="G51" s="105">
        <f t="shared" si="35"/>
        <v>30</v>
      </c>
      <c r="H51" s="126">
        <f>IF(E51="","",100/$G$108*G51)</f>
        <v>1.935483870967742</v>
      </c>
      <c r="I51" s="128" t="s">
        <v>64</v>
      </c>
      <c r="J51" s="125">
        <f>IF(I51="ja",30,0)</f>
        <v>0</v>
      </c>
      <c r="K51" s="124" t="s">
        <v>65</v>
      </c>
    </row>
    <row r="52" ht="28.5" outlineLevel="1">
      <c r="A52" s="67" t="s">
        <v>319</v>
      </c>
      <c r="B52" s="68" t="s">
        <v>320</v>
      </c>
      <c r="C52" s="69" t="s">
        <v>12</v>
      </c>
      <c r="D52" s="69" t="s">
        <v>18</v>
      </c>
      <c r="E52" s="69"/>
      <c r="H52" s="70"/>
      <c r="I52" s="128"/>
      <c r="J52" s="71"/>
    </row>
    <row r="53" ht="13.9">
      <c r="A53" s="62" t="s">
        <v>167</v>
      </c>
      <c r="B53" s="63" t="s">
        <v>168</v>
      </c>
      <c r="C53" s="63"/>
      <c r="D53" s="63"/>
      <c r="E53" s="63"/>
      <c r="F53" s="63"/>
      <c r="G53" s="63"/>
      <c r="H53" s="64">
        <f>SUM(H54:H62)</f>
        <v>2.5806451612903225</v>
      </c>
      <c r="I53" s="65"/>
      <c r="J53" s="63"/>
      <c r="K53" s="63"/>
    </row>
    <row r="54" s="54" customFormat="1" ht="13.9" outlineLevel="1">
      <c r="A54" s="67" t="s">
        <v>169</v>
      </c>
      <c r="B54" s="54" t="s">
        <v>288</v>
      </c>
      <c r="C54" s="69" t="s">
        <v>7</v>
      </c>
      <c r="D54" s="69" t="s">
        <v>20</v>
      </c>
      <c r="G54" s="54" t="str">
        <f t="shared" si="35"/>
        <v/>
      </c>
      <c r="H54" s="54" t="str">
        <f t="shared" ref="H54:H60" si="39">IF(E54="","",100/$G$108*G54)</f>
        <v/>
      </c>
      <c r="I54" s="170" t="s">
        <v>64</v>
      </c>
      <c r="J54" s="170"/>
    </row>
    <row r="55" s="54" customFormat="1" ht="42.75" outlineLevel="1">
      <c r="A55" s="54" t="s">
        <v>171</v>
      </c>
      <c r="B55" s="54" t="s">
        <v>172</v>
      </c>
      <c r="C55" s="69" t="s">
        <v>10</v>
      </c>
      <c r="D55" s="69" t="s">
        <v>18</v>
      </c>
      <c r="E55" s="54">
        <v>1</v>
      </c>
      <c r="F55" s="54">
        <v>10</v>
      </c>
      <c r="G55" s="54">
        <f t="shared" si="35"/>
        <v>10</v>
      </c>
      <c r="H55" s="70">
        <f t="shared" si="39"/>
        <v>0.64516129032258063</v>
      </c>
      <c r="I55" s="173"/>
      <c r="J55" s="71">
        <f>IF(I55="bitte wählen","",IF(I55&gt;=750,10,IF(I55&gt;500,5,0)))</f>
        <v>0</v>
      </c>
      <c r="K55" s="77" t="s">
        <v>289</v>
      </c>
    </row>
    <row r="56" s="54" customFormat="1" outlineLevel="1">
      <c r="A56" s="54" t="s">
        <v>290</v>
      </c>
      <c r="B56" s="54" t="s">
        <v>291</v>
      </c>
      <c r="C56" s="69" t="s">
        <v>7</v>
      </c>
      <c r="D56" s="69" t="s">
        <v>20</v>
      </c>
      <c r="G56" s="54" t="str">
        <f t="shared" si="35"/>
        <v/>
      </c>
      <c r="H56" s="54" t="str">
        <f t="shared" si="39"/>
        <v/>
      </c>
      <c r="I56" s="173" t="s">
        <v>64</v>
      </c>
      <c r="J56" s="71"/>
      <c r="K56" s="68"/>
    </row>
    <row r="57" s="115" customFormat="1" outlineLevel="1">
      <c r="A57" s="115" t="s">
        <v>292</v>
      </c>
      <c r="B57" s="115" t="s">
        <v>293</v>
      </c>
      <c r="C57" s="118" t="s">
        <v>7</v>
      </c>
      <c r="D57" s="118" t="s">
        <v>20</v>
      </c>
      <c r="G57" s="115" t="str">
        <f t="shared" si="35"/>
        <v/>
      </c>
      <c r="H57" s="115" t="str">
        <f t="shared" si="39"/>
        <v/>
      </c>
      <c r="I57" s="171" t="s">
        <v>64</v>
      </c>
      <c r="J57" s="118"/>
      <c r="K57" s="117"/>
    </row>
    <row r="58" s="54" customFormat="1" ht="13.5" customHeight="1" outlineLevel="1">
      <c r="A58" s="54" t="s">
        <v>294</v>
      </c>
      <c r="B58" s="54" t="s">
        <v>295</v>
      </c>
      <c r="C58" s="69" t="s">
        <v>7</v>
      </c>
      <c r="D58" s="69" t="s">
        <v>20</v>
      </c>
      <c r="G58" s="54" t="str">
        <f t="shared" si="35"/>
        <v/>
      </c>
      <c r="H58" s="54" t="str">
        <f t="shared" si="39"/>
        <v/>
      </c>
      <c r="I58" s="173" t="s">
        <v>64</v>
      </c>
      <c r="J58" s="71"/>
      <c r="K58" s="68"/>
    </row>
    <row r="59" s="188" customFormat="1" ht="28.5">
      <c r="A59" s="105" t="s">
        <v>296</v>
      </c>
      <c r="B59" s="105" t="s">
        <v>297</v>
      </c>
      <c r="C59" s="125" t="s">
        <v>10</v>
      </c>
      <c r="D59" s="125" t="s">
        <v>20</v>
      </c>
      <c r="E59" s="105">
        <v>3</v>
      </c>
      <c r="F59" s="105">
        <v>10</v>
      </c>
      <c r="G59" s="105">
        <f t="shared" si="35"/>
        <v>30</v>
      </c>
      <c r="H59" s="126">
        <f t="shared" si="39"/>
        <v>1.935483870967742</v>
      </c>
      <c r="I59" s="171" t="s">
        <v>64</v>
      </c>
      <c r="J59" s="125">
        <f>IF(I59="ja",10,0)</f>
        <v>0</v>
      </c>
      <c r="K59" s="124" t="s">
        <v>65</v>
      </c>
    </row>
    <row r="60" s="174" customFormat="1" ht="13.9">
      <c r="A60" s="54" t="s">
        <v>298</v>
      </c>
      <c r="B60" s="54" t="s">
        <v>299</v>
      </c>
      <c r="C60" s="69" t="s">
        <v>7</v>
      </c>
      <c r="D60" s="69" t="s">
        <v>20</v>
      </c>
      <c r="E60" s="54"/>
      <c r="F60" s="54"/>
      <c r="G60" s="54" t="str">
        <f t="shared" si="35"/>
        <v/>
      </c>
      <c r="H60" s="54" t="str">
        <f t="shared" si="39"/>
        <v/>
      </c>
      <c r="I60" s="173" t="s">
        <v>64</v>
      </c>
      <c r="J60" s="71"/>
      <c r="K60" s="68"/>
    </row>
    <row r="61" s="174" customFormat="1" ht="13.9">
      <c r="A61" s="81" t="s">
        <v>300</v>
      </c>
      <c r="B61" s="54" t="s">
        <v>301</v>
      </c>
      <c r="C61" s="69" t="s">
        <v>7</v>
      </c>
      <c r="D61" s="69" t="s">
        <v>20</v>
      </c>
      <c r="E61" s="54"/>
      <c r="F61" s="54"/>
      <c r="G61" s="54" t="str">
        <f t="shared" si="35"/>
        <v/>
      </c>
      <c r="H61" s="54" t="str">
        <f>IF(E61="","",100/#REF!*G61)</f>
        <v/>
      </c>
      <c r="I61" s="173" t="s">
        <v>64</v>
      </c>
      <c r="J61" s="71"/>
      <c r="K61" s="68"/>
    </row>
    <row r="62" s="174" customFormat="1" ht="27.5" customHeight="1">
      <c r="A62" s="81" t="s">
        <v>302</v>
      </c>
      <c r="B62" s="54" t="s">
        <v>303</v>
      </c>
      <c r="C62" s="69" t="s">
        <v>7</v>
      </c>
      <c r="D62" s="69" t="s">
        <v>20</v>
      </c>
      <c r="E62" s="54"/>
      <c r="F62" s="54"/>
      <c r="G62" s="54" t="str">
        <f t="shared" si="35"/>
        <v/>
      </c>
      <c r="H62" s="54" t="str">
        <f>IF(E62="","",100/#REF!*G62)</f>
        <v/>
      </c>
      <c r="I62" s="173" t="s">
        <v>64</v>
      </c>
      <c r="J62" s="71"/>
      <c r="K62" s="68"/>
    </row>
    <row r="63" s="54" customFormat="1" ht="28.350000000000001" customHeight="1">
      <c r="A63" s="131" t="s">
        <v>174</v>
      </c>
      <c r="B63" s="132" t="s">
        <v>175</v>
      </c>
      <c r="C63" s="133"/>
      <c r="D63" s="133"/>
      <c r="E63" s="58"/>
      <c r="F63" s="134"/>
      <c r="G63" s="134"/>
      <c r="H63" s="60">
        <f>H64+H68</f>
        <v>6.4516129032258061</v>
      </c>
      <c r="I63" s="135"/>
      <c r="J63" s="136"/>
      <c r="K63" s="59"/>
    </row>
    <row r="64" s="54" customFormat="1" ht="13.9">
      <c r="A64" s="62" t="s">
        <v>176</v>
      </c>
      <c r="B64" s="63" t="s">
        <v>177</v>
      </c>
      <c r="C64" s="63"/>
      <c r="D64" s="63"/>
      <c r="E64" s="63"/>
      <c r="F64" s="63"/>
      <c r="G64" s="63"/>
      <c r="H64" s="64">
        <v>0</v>
      </c>
      <c r="I64" s="65"/>
      <c r="J64" s="63"/>
      <c r="K64" s="63"/>
    </row>
    <row r="65" s="115" customFormat="1" ht="27" outlineLevel="1">
      <c r="A65" s="116" t="s">
        <v>178</v>
      </c>
      <c r="B65" s="146" t="s">
        <v>179</v>
      </c>
      <c r="C65" s="118" t="s">
        <v>7</v>
      </c>
      <c r="D65" s="118" t="s">
        <v>20</v>
      </c>
      <c r="E65" s="118"/>
      <c r="G65" s="115" t="str">
        <f t="shared" si="35"/>
        <v/>
      </c>
      <c r="H65" s="119" t="str">
        <f t="shared" ref="H65:H67" si="40">IF(E65="","",100/$G$108*G65)</f>
        <v/>
      </c>
      <c r="I65" s="128" t="s">
        <v>64</v>
      </c>
      <c r="J65" s="118"/>
    </row>
    <row r="66" s="105" customFormat="1" ht="54" outlineLevel="1">
      <c r="A66" s="123" t="s">
        <v>180</v>
      </c>
      <c r="B66" s="107" t="s">
        <v>181</v>
      </c>
      <c r="C66" s="125" t="s">
        <v>12</v>
      </c>
      <c r="D66" s="125" t="s">
        <v>20</v>
      </c>
      <c r="E66" s="125"/>
      <c r="G66" s="105" t="str">
        <f t="shared" si="35"/>
        <v/>
      </c>
      <c r="H66" s="126" t="str">
        <f t="shared" si="40"/>
        <v/>
      </c>
      <c r="I66" s="128" t="s">
        <v>64</v>
      </c>
      <c r="J66" s="125"/>
      <c r="K66" s="124" t="s">
        <v>182</v>
      </c>
    </row>
    <row r="67" s="105" customFormat="1" ht="40.5" outlineLevel="1">
      <c r="A67" s="123" t="s">
        <v>183</v>
      </c>
      <c r="B67" s="107" t="s">
        <v>184</v>
      </c>
      <c r="C67" s="125" t="s">
        <v>12</v>
      </c>
      <c r="D67" s="125" t="s">
        <v>20</v>
      </c>
      <c r="E67" s="125"/>
      <c r="G67" s="105" t="str">
        <f t="shared" si="35"/>
        <v/>
      </c>
      <c r="H67" s="126" t="str">
        <f t="shared" si="40"/>
        <v/>
      </c>
      <c r="I67" s="128" t="s">
        <v>64</v>
      </c>
      <c r="J67" s="125"/>
      <c r="K67" s="124" t="s">
        <v>185</v>
      </c>
    </row>
    <row r="68" s="54" customFormat="1" ht="13.9">
      <c r="A68" s="62" t="s">
        <v>186</v>
      </c>
      <c r="B68" s="63" t="s">
        <v>187</v>
      </c>
      <c r="C68" s="63"/>
      <c r="D68" s="63"/>
      <c r="E68" s="63"/>
      <c r="F68" s="63"/>
      <c r="G68" s="63"/>
      <c r="H68" s="64">
        <f>SUM(H69:H71)</f>
        <v>6.4516129032258061</v>
      </c>
      <c r="I68" s="65"/>
      <c r="J68" s="63"/>
      <c r="K68" s="63"/>
    </row>
    <row r="69" s="115" customFormat="1" outlineLevel="1">
      <c r="A69" s="116" t="s">
        <v>188</v>
      </c>
      <c r="B69" s="117" t="s">
        <v>189</v>
      </c>
      <c r="C69" s="118" t="s">
        <v>7</v>
      </c>
      <c r="D69" s="118" t="s">
        <v>20</v>
      </c>
      <c r="E69" s="118"/>
      <c r="G69" s="115" t="str">
        <f t="shared" si="35"/>
        <v/>
      </c>
      <c r="H69" s="119" t="str">
        <f t="shared" ref="H69:H71" si="41">IF(E69="","",100/$G$108*G69)</f>
        <v/>
      </c>
      <c r="I69" s="128" t="s">
        <v>64</v>
      </c>
      <c r="J69" s="118"/>
    </row>
    <row r="70" s="115" customFormat="1" ht="27" outlineLevel="1">
      <c r="A70" s="116" t="s">
        <v>190</v>
      </c>
      <c r="B70" s="117" t="s">
        <v>191</v>
      </c>
      <c r="C70" s="118" t="s">
        <v>7</v>
      </c>
      <c r="D70" s="118" t="s">
        <v>20</v>
      </c>
      <c r="E70" s="118"/>
      <c r="G70" s="115" t="str">
        <f t="shared" si="35"/>
        <v/>
      </c>
      <c r="H70" s="119" t="str">
        <f t="shared" si="41"/>
        <v/>
      </c>
      <c r="I70" s="128" t="s">
        <v>64</v>
      </c>
      <c r="J70" s="118">
        <f>IF(I70="ja",300,0)</f>
        <v>0</v>
      </c>
      <c r="K70" s="117"/>
    </row>
    <row r="71" s="105" customFormat="1" ht="27" outlineLevel="1">
      <c r="A71" s="123" t="s">
        <v>304</v>
      </c>
      <c r="B71" s="189" t="s">
        <v>305</v>
      </c>
      <c r="C71" s="125" t="s">
        <v>10</v>
      </c>
      <c r="D71" s="125" t="s">
        <v>20</v>
      </c>
      <c r="E71" s="190">
        <v>10</v>
      </c>
      <c r="F71" s="191">
        <v>10</v>
      </c>
      <c r="G71" s="191">
        <f t="shared" si="35"/>
        <v>100</v>
      </c>
      <c r="H71" s="184">
        <f t="shared" si="41"/>
        <v>6.4516129032258061</v>
      </c>
      <c r="I71" s="128" t="s">
        <v>64</v>
      </c>
      <c r="J71" s="125"/>
      <c r="K71" s="124" t="s">
        <v>65</v>
      </c>
    </row>
    <row r="72" s="54" customFormat="1" ht="28.350000000000001" customHeight="1">
      <c r="A72" s="55" t="s">
        <v>192</v>
      </c>
      <c r="B72" s="56" t="s">
        <v>59</v>
      </c>
      <c r="C72" s="57"/>
      <c r="D72" s="57"/>
      <c r="E72" s="58"/>
      <c r="F72" s="59"/>
      <c r="G72" s="59"/>
      <c r="H72" s="60">
        <f>H73+H77</f>
        <v>12.903225806451612</v>
      </c>
      <c r="I72" s="57"/>
      <c r="J72" s="57"/>
      <c r="K72" s="61"/>
    </row>
    <row r="73" s="54" customFormat="1" ht="13.9">
      <c r="A73" s="62" t="s">
        <v>193</v>
      </c>
      <c r="B73" s="63" t="s">
        <v>61</v>
      </c>
      <c r="C73" s="63"/>
      <c r="D73" s="63"/>
      <c r="E73" s="63"/>
      <c r="F73" s="63"/>
      <c r="G73" s="63"/>
      <c r="H73" s="64">
        <f>SUM(H74:H76)</f>
        <v>6.4516129032258061</v>
      </c>
      <c r="I73" s="65"/>
      <c r="J73" s="63"/>
      <c r="K73" s="63"/>
    </row>
    <row r="74" s="138" customFormat="1" ht="94.5" outlineLevel="1">
      <c r="A74" s="116" t="s">
        <v>194</v>
      </c>
      <c r="B74" s="117" t="s">
        <v>195</v>
      </c>
      <c r="C74" s="118" t="s">
        <v>7</v>
      </c>
      <c r="D74" s="118" t="s">
        <v>20</v>
      </c>
      <c r="E74" s="118"/>
      <c r="F74" s="115"/>
      <c r="G74" s="115" t="str">
        <f t="shared" si="35"/>
        <v/>
      </c>
      <c r="H74" s="119" t="str">
        <f t="shared" ref="H74:H76" si="42">IF(E74="","",100/$G$108*G74)</f>
        <v/>
      </c>
      <c r="I74" s="128" t="s">
        <v>64</v>
      </c>
      <c r="J74" s="118"/>
      <c r="K74" s="115"/>
    </row>
    <row r="75" s="138" customFormat="1" ht="67.5" outlineLevel="1">
      <c r="A75" s="116" t="s">
        <v>196</v>
      </c>
      <c r="B75" s="117" t="s">
        <v>306</v>
      </c>
      <c r="C75" s="118" t="s">
        <v>7</v>
      </c>
      <c r="D75" s="118" t="s">
        <v>20</v>
      </c>
      <c r="E75" s="118"/>
      <c r="F75" s="115"/>
      <c r="G75" s="115" t="str">
        <f t="shared" si="35"/>
        <v/>
      </c>
      <c r="H75" s="119" t="str">
        <f t="shared" si="42"/>
        <v/>
      </c>
      <c r="I75" s="128" t="s">
        <v>64</v>
      </c>
      <c r="J75" s="118"/>
      <c r="K75" s="115"/>
    </row>
    <row r="76" s="130" customFormat="1" ht="67.5" outlineLevel="1">
      <c r="A76" s="123" t="s">
        <v>198</v>
      </c>
      <c r="B76" s="124" t="s">
        <v>199</v>
      </c>
      <c r="C76" s="125" t="s">
        <v>10</v>
      </c>
      <c r="D76" s="125" t="s">
        <v>20</v>
      </c>
      <c r="E76" s="125">
        <v>10</v>
      </c>
      <c r="F76" s="105">
        <v>10</v>
      </c>
      <c r="G76" s="105">
        <f t="shared" si="35"/>
        <v>100</v>
      </c>
      <c r="H76" s="126">
        <f t="shared" si="42"/>
        <v>6.4516129032258061</v>
      </c>
      <c r="I76" s="128" t="s">
        <v>64</v>
      </c>
      <c r="J76" s="125">
        <f>IF(I76="ja",100,0)</f>
        <v>0</v>
      </c>
      <c r="K76" s="124" t="s">
        <v>65</v>
      </c>
    </row>
    <row r="77" ht="13.9">
      <c r="A77" s="62" t="s">
        <v>200</v>
      </c>
      <c r="B77" s="63" t="s">
        <v>201</v>
      </c>
      <c r="C77" s="63"/>
      <c r="D77" s="63"/>
      <c r="E77" s="63"/>
      <c r="F77" s="63"/>
      <c r="G77" s="63"/>
      <c r="H77" s="177">
        <f>SUM(H78:H79)</f>
        <v>6.4516129032258061</v>
      </c>
      <c r="I77" s="65"/>
      <c r="J77" s="63"/>
      <c r="K77" s="63"/>
    </row>
    <row r="78" s="130" customFormat="1" ht="54" outlineLevel="1">
      <c r="A78" s="123" t="s">
        <v>202</v>
      </c>
      <c r="B78" s="107" t="s">
        <v>307</v>
      </c>
      <c r="C78" s="125" t="s">
        <v>10</v>
      </c>
      <c r="D78" s="108" t="s">
        <v>20</v>
      </c>
      <c r="E78" s="108">
        <v>10</v>
      </c>
      <c r="F78" s="109">
        <v>10</v>
      </c>
      <c r="G78" s="109">
        <f t="shared" si="35"/>
        <v>100</v>
      </c>
      <c r="H78" s="126">
        <f t="shared" ref="H78:H79" si="43">IF(E78="","",100/$G$108*G78)</f>
        <v>6.4516129032258061</v>
      </c>
      <c r="I78" s="128" t="s">
        <v>64</v>
      </c>
      <c r="J78" s="125">
        <f t="shared" ref="J78:J79" si="44">IF(I78="ja",100,0)</f>
        <v>0</v>
      </c>
      <c r="K78" s="105"/>
    </row>
    <row r="79" s="138" customFormat="1" ht="27" outlineLevel="1">
      <c r="A79" s="116" t="s">
        <v>204</v>
      </c>
      <c r="B79" s="117" t="s">
        <v>205</v>
      </c>
      <c r="C79" s="118" t="s">
        <v>7</v>
      </c>
      <c r="D79" s="118" t="s">
        <v>20</v>
      </c>
      <c r="E79" s="118"/>
      <c r="F79" s="115"/>
      <c r="G79" s="120" t="str">
        <f t="shared" si="35"/>
        <v/>
      </c>
      <c r="H79" s="119" t="str">
        <f t="shared" si="43"/>
        <v/>
      </c>
      <c r="I79" s="128" t="s">
        <v>64</v>
      </c>
      <c r="J79" s="118">
        <f t="shared" si="44"/>
        <v>0</v>
      </c>
      <c r="K79" s="117"/>
    </row>
    <row r="80" ht="13.9">
      <c r="A80" s="148" t="s">
        <v>206</v>
      </c>
      <c r="B80" s="149" t="s">
        <v>207</v>
      </c>
      <c r="C80" s="150"/>
      <c r="D80" s="150"/>
      <c r="E80" s="150"/>
      <c r="F80" s="151"/>
      <c r="G80" s="151"/>
      <c r="H80" s="152">
        <f>H81+H102</f>
        <v>45.161290322580648</v>
      </c>
      <c r="I80" s="153"/>
      <c r="J80" s="154"/>
      <c r="K80" s="154"/>
    </row>
    <row r="81" ht="13.9">
      <c r="A81" s="155" t="s">
        <v>208</v>
      </c>
      <c r="B81" s="156" t="s">
        <v>209</v>
      </c>
      <c r="C81" s="157"/>
      <c r="D81" s="157"/>
      <c r="E81" s="157"/>
      <c r="F81" s="103"/>
      <c r="G81" s="103"/>
      <c r="H81" s="158">
        <f>SUM(H82:H100)</f>
        <v>45.161290322580648</v>
      </c>
      <c r="I81" s="157"/>
      <c r="J81" s="103"/>
      <c r="K81" s="103"/>
    </row>
    <row r="82" s="138" customFormat="1" outlineLevel="1">
      <c r="A82" s="116" t="s">
        <v>210</v>
      </c>
      <c r="B82" s="117" t="s">
        <v>211</v>
      </c>
      <c r="C82" s="118" t="s">
        <v>7</v>
      </c>
      <c r="D82" s="118" t="s">
        <v>20</v>
      </c>
      <c r="E82" s="118"/>
      <c r="F82" s="115"/>
      <c r="G82" s="115"/>
      <c r="H82" s="119" t="str">
        <f>IF(E83="","",100/$G$81*G83)</f>
        <v/>
      </c>
      <c r="I82" s="128" t="s">
        <v>64</v>
      </c>
      <c r="J82" s="118"/>
      <c r="K82" s="115"/>
    </row>
    <row r="83" s="138" customFormat="1" outlineLevel="1">
      <c r="A83" s="116" t="s">
        <v>212</v>
      </c>
      <c r="B83" s="117" t="s">
        <v>213</v>
      </c>
      <c r="C83" s="118" t="s">
        <v>7</v>
      </c>
      <c r="D83" s="118" t="s">
        <v>20</v>
      </c>
      <c r="E83" s="118"/>
      <c r="F83" s="115"/>
      <c r="G83" s="115"/>
      <c r="H83" s="119"/>
      <c r="I83" s="128" t="s">
        <v>64</v>
      </c>
      <c r="J83" s="118"/>
      <c r="K83" s="115"/>
    </row>
    <row r="84" s="130" customFormat="1" ht="54" outlineLevel="1">
      <c r="A84" s="123" t="s">
        <v>214</v>
      </c>
      <c r="B84" s="124" t="s">
        <v>215</v>
      </c>
      <c r="C84" s="125" t="s">
        <v>10</v>
      </c>
      <c r="D84" s="125" t="s">
        <v>18</v>
      </c>
      <c r="E84" s="125">
        <v>5</v>
      </c>
      <c r="F84" s="105">
        <v>10</v>
      </c>
      <c r="G84" s="109">
        <f t="shared" ref="G84:G100" si="45">IF(E84="","",E84*F84)</f>
        <v>50</v>
      </c>
      <c r="H84" s="126">
        <f>IF(E84="","",100/$G$108*G84)</f>
        <v>3.225806451612903</v>
      </c>
      <c r="I84" s="128"/>
      <c r="J84" s="125">
        <f>IF(I84&gt;=100,50,IF(I84&gt;=75,25,IF(I84&gt;50,10,0)))</f>
        <v>0</v>
      </c>
      <c r="K84" s="124" t="s">
        <v>216</v>
      </c>
    </row>
    <row r="85" s="138" customFormat="1" outlineLevel="1">
      <c r="A85" s="116" t="s">
        <v>217</v>
      </c>
      <c r="B85" s="117" t="s">
        <v>218</v>
      </c>
      <c r="C85" s="118" t="s">
        <v>7</v>
      </c>
      <c r="D85" s="118" t="s">
        <v>20</v>
      </c>
      <c r="E85" s="118"/>
      <c r="F85" s="115"/>
      <c r="G85" s="115"/>
      <c r="H85" s="119"/>
      <c r="I85" s="128" t="s">
        <v>64</v>
      </c>
      <c r="J85" s="118"/>
      <c r="K85" s="115"/>
    </row>
    <row r="86" s="130" customFormat="1" ht="40.5" outlineLevel="1">
      <c r="A86" s="123" t="s">
        <v>219</v>
      </c>
      <c r="B86" s="124" t="s">
        <v>220</v>
      </c>
      <c r="C86" s="125" t="s">
        <v>10</v>
      </c>
      <c r="D86" s="125" t="s">
        <v>18</v>
      </c>
      <c r="E86" s="125">
        <v>5</v>
      </c>
      <c r="F86" s="105">
        <v>10</v>
      </c>
      <c r="G86" s="109">
        <f t="shared" si="45"/>
        <v>50</v>
      </c>
      <c r="H86" s="126">
        <f>IF(E86="","",100/$G$108*G86)</f>
        <v>3.225806451612903</v>
      </c>
      <c r="I86" s="128"/>
      <c r="J86" s="125">
        <f>IF(I86&gt;=1200,50,IF(I86&gt;600,25,IF(I86=600,0,0)))</f>
        <v>0</v>
      </c>
      <c r="K86" s="124" t="s">
        <v>308</v>
      </c>
    </row>
    <row r="87" s="138" customFormat="1" outlineLevel="1">
      <c r="A87" s="116" t="s">
        <v>222</v>
      </c>
      <c r="B87" s="117" t="s">
        <v>223</v>
      </c>
      <c r="C87" s="118" t="s">
        <v>7</v>
      </c>
      <c r="D87" s="118" t="s">
        <v>20</v>
      </c>
      <c r="E87" s="118"/>
      <c r="F87" s="115"/>
      <c r="G87" s="115"/>
      <c r="H87" s="119"/>
      <c r="I87" s="128" t="s">
        <v>64</v>
      </c>
      <c r="J87" s="118"/>
      <c r="K87" s="115"/>
    </row>
    <row r="88" s="130" customFormat="1" ht="27" outlineLevel="1">
      <c r="A88" s="123" t="s">
        <v>224</v>
      </c>
      <c r="B88" s="124" t="s">
        <v>225</v>
      </c>
      <c r="C88" s="125" t="s">
        <v>10</v>
      </c>
      <c r="D88" s="125" t="s">
        <v>20</v>
      </c>
      <c r="E88" s="125">
        <v>5</v>
      </c>
      <c r="F88" s="105">
        <v>10</v>
      </c>
      <c r="G88" s="109">
        <f t="shared" si="45"/>
        <v>50</v>
      </c>
      <c r="H88" s="126">
        <f t="shared" ref="H88:H91" si="46">IF(E88="","",100/$G$108*G88)</f>
        <v>3.225806451612903</v>
      </c>
      <c r="I88" s="128" t="s">
        <v>64</v>
      </c>
      <c r="J88" s="125">
        <f>IF(I88="ja",100,IF(I88="nein",0,0))</f>
        <v>0</v>
      </c>
      <c r="K88" s="124" t="s">
        <v>65</v>
      </c>
    </row>
    <row r="89" s="130" customFormat="1" ht="27" outlineLevel="1">
      <c r="A89" s="123" t="s">
        <v>226</v>
      </c>
      <c r="B89" s="124" t="s">
        <v>227</v>
      </c>
      <c r="C89" s="125" t="s">
        <v>10</v>
      </c>
      <c r="D89" s="125" t="s">
        <v>20</v>
      </c>
      <c r="E89" s="125">
        <v>10</v>
      </c>
      <c r="F89" s="105">
        <v>10</v>
      </c>
      <c r="G89" s="109">
        <f t="shared" si="45"/>
        <v>100</v>
      </c>
      <c r="H89" s="126">
        <f t="shared" si="46"/>
        <v>6.4516129032258061</v>
      </c>
      <c r="I89" s="128" t="s">
        <v>64</v>
      </c>
      <c r="J89" s="125">
        <f>IF(I89="CCD",100,IF(I89="CIS",0,0))</f>
        <v>0</v>
      </c>
      <c r="K89" s="124" t="s">
        <v>228</v>
      </c>
    </row>
    <row r="90" s="130" customFormat="1" ht="67.5" outlineLevel="1">
      <c r="A90" s="123" t="s">
        <v>229</v>
      </c>
      <c r="B90" s="124" t="s">
        <v>230</v>
      </c>
      <c r="C90" s="125" t="s">
        <v>10</v>
      </c>
      <c r="D90" s="125" t="s">
        <v>18</v>
      </c>
      <c r="E90" s="125">
        <v>5</v>
      </c>
      <c r="F90" s="105">
        <v>10</v>
      </c>
      <c r="G90" s="109">
        <f t="shared" si="45"/>
        <v>50</v>
      </c>
      <c r="H90" s="126">
        <f t="shared" si="46"/>
        <v>3.225806451612903</v>
      </c>
      <c r="I90" s="128"/>
      <c r="J90" s="125">
        <f t="shared" ref="J90:J91" si="47">IF(I90&gt;=80,50,IF(I90&gt;=70,40,IF(I90&gt;=60,30,IF(I90&gt;45,20,IF(I90=45,0,0)))))</f>
        <v>0</v>
      </c>
      <c r="K90" s="124" t="s">
        <v>321</v>
      </c>
    </row>
    <row r="91" s="130" customFormat="1" ht="67.5" outlineLevel="1">
      <c r="A91" s="123" t="s">
        <v>232</v>
      </c>
      <c r="B91" s="124" t="s">
        <v>233</v>
      </c>
      <c r="C91" s="125" t="s">
        <v>10</v>
      </c>
      <c r="D91" s="125" t="s">
        <v>18</v>
      </c>
      <c r="E91" s="125">
        <v>5</v>
      </c>
      <c r="F91" s="105">
        <v>10</v>
      </c>
      <c r="G91" s="109">
        <f t="shared" si="45"/>
        <v>50</v>
      </c>
      <c r="H91" s="126">
        <f t="shared" si="46"/>
        <v>3.225806451612903</v>
      </c>
      <c r="I91" s="128"/>
      <c r="J91" s="125">
        <f t="shared" si="47"/>
        <v>0</v>
      </c>
      <c r="K91" s="124" t="s">
        <v>321</v>
      </c>
    </row>
    <row r="92" s="138" customFormat="1" outlineLevel="1">
      <c r="A92" s="116" t="s">
        <v>234</v>
      </c>
      <c r="B92" s="117" t="s">
        <v>235</v>
      </c>
      <c r="C92" s="118" t="s">
        <v>7</v>
      </c>
      <c r="D92" s="118" t="s">
        <v>20</v>
      </c>
      <c r="E92" s="118"/>
      <c r="F92" s="115"/>
      <c r="G92" s="120" t="str">
        <f t="shared" si="45"/>
        <v/>
      </c>
      <c r="H92" s="119" t="str">
        <f t="shared" ref="H92:H93" si="48">IF(E93="","",100/$G$81*G93)</f>
        <v/>
      </c>
      <c r="I92" s="128" t="s">
        <v>64</v>
      </c>
      <c r="J92" s="118"/>
      <c r="K92" s="115"/>
    </row>
    <row r="93" s="138" customFormat="1" outlineLevel="1">
      <c r="A93" s="116" t="s">
        <v>236</v>
      </c>
      <c r="B93" s="117" t="s">
        <v>322</v>
      </c>
      <c r="C93" s="118" t="s">
        <v>7</v>
      </c>
      <c r="D93" s="118" t="s">
        <v>20</v>
      </c>
      <c r="E93" s="118"/>
      <c r="F93" s="115"/>
      <c r="G93" s="120" t="str">
        <f t="shared" si="45"/>
        <v/>
      </c>
      <c r="H93" s="119" t="str">
        <f t="shared" si="48"/>
        <v/>
      </c>
      <c r="I93" s="128" t="s">
        <v>64</v>
      </c>
      <c r="J93" s="118"/>
      <c r="K93" s="115"/>
    </row>
    <row r="94" s="138" customFormat="1" outlineLevel="1">
      <c r="A94" s="116" t="s">
        <v>238</v>
      </c>
      <c r="B94" s="117" t="s">
        <v>239</v>
      </c>
      <c r="C94" s="118" t="s">
        <v>7</v>
      </c>
      <c r="D94" s="118" t="s">
        <v>20</v>
      </c>
      <c r="E94" s="118"/>
      <c r="F94" s="115"/>
      <c r="G94" s="120" t="str">
        <f t="shared" si="45"/>
        <v/>
      </c>
      <c r="H94" s="119"/>
      <c r="I94" s="128" t="s">
        <v>64</v>
      </c>
      <c r="J94" s="118"/>
      <c r="K94" s="115"/>
    </row>
    <row r="95" s="130" customFormat="1" ht="27" outlineLevel="1">
      <c r="A95" s="123" t="s">
        <v>240</v>
      </c>
      <c r="B95" s="124" t="s">
        <v>241</v>
      </c>
      <c r="C95" s="125" t="s">
        <v>10</v>
      </c>
      <c r="D95" s="125" t="s">
        <v>20</v>
      </c>
      <c r="E95" s="125">
        <v>5</v>
      </c>
      <c r="F95" s="105">
        <v>10</v>
      </c>
      <c r="G95" s="109">
        <f t="shared" si="45"/>
        <v>50</v>
      </c>
      <c r="H95" s="126">
        <f>IF(E95="","",100/$G$108*G95)</f>
        <v>3.225806451612903</v>
      </c>
      <c r="I95" s="128" t="s">
        <v>64</v>
      </c>
      <c r="J95" s="125">
        <f>IF(I95="ja",50,IF(I95="nein",0,0))</f>
        <v>0</v>
      </c>
      <c r="K95" s="124" t="s">
        <v>65</v>
      </c>
    </row>
    <row r="96" s="138" customFormat="1" outlineLevel="1">
      <c r="A96" s="116" t="s">
        <v>242</v>
      </c>
      <c r="B96" s="117" t="s">
        <v>243</v>
      </c>
      <c r="C96" s="118" t="s">
        <v>7</v>
      </c>
      <c r="D96" s="118" t="s">
        <v>20</v>
      </c>
      <c r="E96" s="118"/>
      <c r="F96" s="115"/>
      <c r="G96" s="120" t="str">
        <f t="shared" si="45"/>
        <v/>
      </c>
      <c r="H96" s="119"/>
      <c r="I96" s="128" t="s">
        <v>64</v>
      </c>
      <c r="J96" s="118"/>
      <c r="K96" s="115"/>
    </row>
    <row r="97" s="130" customFormat="1" ht="27" outlineLevel="1">
      <c r="A97" s="123" t="s">
        <v>244</v>
      </c>
      <c r="B97" s="124" t="s">
        <v>245</v>
      </c>
      <c r="C97" s="125" t="s">
        <v>10</v>
      </c>
      <c r="D97" s="125" t="s">
        <v>20</v>
      </c>
      <c r="E97" s="125">
        <v>10</v>
      </c>
      <c r="F97" s="105">
        <v>10</v>
      </c>
      <c r="G97" s="109">
        <f t="shared" si="45"/>
        <v>100</v>
      </c>
      <c r="H97" s="126">
        <f>IF(E97="","",100/$G$108*G97)</f>
        <v>6.4516129032258061</v>
      </c>
      <c r="I97" s="128" t="s">
        <v>64</v>
      </c>
      <c r="J97" s="125">
        <f>IF(I97="ja",100,IF(I97="nein",0,0))</f>
        <v>0</v>
      </c>
      <c r="K97" s="124" t="s">
        <v>65</v>
      </c>
    </row>
    <row r="98" s="138" customFormat="1" ht="27" outlineLevel="1">
      <c r="A98" s="116" t="s">
        <v>246</v>
      </c>
      <c r="B98" s="117" t="s">
        <v>247</v>
      </c>
      <c r="C98" s="118" t="s">
        <v>7</v>
      </c>
      <c r="D98" s="118" t="s">
        <v>20</v>
      </c>
      <c r="E98" s="118"/>
      <c r="F98" s="115"/>
      <c r="G98" s="120" t="str">
        <f t="shared" si="45"/>
        <v/>
      </c>
      <c r="H98" s="119"/>
      <c r="I98" s="128" t="s">
        <v>64</v>
      </c>
      <c r="J98" s="118"/>
      <c r="K98" s="115"/>
    </row>
    <row r="99" s="130" customFormat="1" ht="27" outlineLevel="1">
      <c r="A99" s="123" t="s">
        <v>248</v>
      </c>
      <c r="B99" s="124" t="s">
        <v>249</v>
      </c>
      <c r="C99" s="125" t="s">
        <v>10</v>
      </c>
      <c r="D99" s="125" t="s">
        <v>20</v>
      </c>
      <c r="E99" s="125">
        <v>10</v>
      </c>
      <c r="F99" s="105">
        <v>10</v>
      </c>
      <c r="G99" s="109">
        <f t="shared" si="45"/>
        <v>100</v>
      </c>
      <c r="H99" s="126">
        <f>IF(E99="","",100/$G$108*G99)</f>
        <v>6.4516129032258061</v>
      </c>
      <c r="I99" s="128" t="s">
        <v>64</v>
      </c>
      <c r="J99" s="125">
        <f>IF(I99="ja",100,IF(I99="nein",0,0))</f>
        <v>0</v>
      </c>
      <c r="K99" s="124" t="s">
        <v>65</v>
      </c>
    </row>
    <row r="100" s="130" customFormat="1" ht="27" outlineLevel="1">
      <c r="A100" s="123" t="s">
        <v>250</v>
      </c>
      <c r="B100" s="124" t="s">
        <v>251</v>
      </c>
      <c r="C100" s="125" t="s">
        <v>10</v>
      </c>
      <c r="D100" s="125" t="s">
        <v>20</v>
      </c>
      <c r="E100" s="125">
        <v>10</v>
      </c>
      <c r="F100" s="105">
        <v>10</v>
      </c>
      <c r="G100" s="109">
        <f t="shared" si="45"/>
        <v>100</v>
      </c>
      <c r="H100" s="126">
        <f>IF(E100="","",100/$G$108*G100)</f>
        <v>6.4516129032258061</v>
      </c>
      <c r="I100" s="128" t="s">
        <v>64</v>
      </c>
      <c r="J100" s="125">
        <f>IF(I100="ja",150,IF(I100="nein",0,0))</f>
        <v>0</v>
      </c>
      <c r="K100" s="124" t="s">
        <v>65</v>
      </c>
    </row>
    <row r="101" s="138" customFormat="1" outlineLevel="1">
      <c r="A101" s="116" t="s">
        <v>252</v>
      </c>
      <c r="B101" s="117" t="s">
        <v>253</v>
      </c>
      <c r="C101" s="118" t="s">
        <v>7</v>
      </c>
      <c r="D101" s="118" t="s">
        <v>20</v>
      </c>
      <c r="E101" s="118"/>
      <c r="F101" s="115"/>
      <c r="G101" s="120" t="str">
        <f>IF(E101="","",E101*F101)</f>
        <v/>
      </c>
      <c r="H101" s="119"/>
      <c r="I101" s="128" t="s">
        <v>64</v>
      </c>
      <c r="J101" s="118">
        <f>IF(I101="ja",100,0)</f>
        <v>0</v>
      </c>
      <c r="K101" s="117"/>
    </row>
    <row r="102" ht="13.9">
      <c r="A102" s="155" t="s">
        <v>254</v>
      </c>
      <c r="B102" s="156" t="s">
        <v>255</v>
      </c>
      <c r="C102" s="157"/>
      <c r="D102" s="157"/>
      <c r="E102" s="157"/>
      <c r="F102" s="103"/>
      <c r="G102" s="103"/>
      <c r="H102" s="64">
        <v>0</v>
      </c>
      <c r="I102" s="157"/>
      <c r="J102" s="103"/>
      <c r="K102" s="103"/>
    </row>
    <row r="103" s="138" customFormat="1" ht="13.9" outlineLevel="1">
      <c r="A103" s="116" t="s">
        <v>256</v>
      </c>
      <c r="B103" s="117" t="s">
        <v>323</v>
      </c>
      <c r="C103" s="118" t="s">
        <v>7</v>
      </c>
      <c r="D103" s="118" t="s">
        <v>20</v>
      </c>
      <c r="E103" s="118"/>
      <c r="F103" s="115"/>
      <c r="G103" s="115"/>
      <c r="H103" s="119" t="str">
        <f t="shared" ref="H103:H107" si="49">IF(E104="","",100/$G$81*G104)</f>
        <v/>
      </c>
      <c r="I103" s="128" t="s">
        <v>64</v>
      </c>
      <c r="J103" s="118"/>
      <c r="K103" s="115"/>
    </row>
    <row r="104" outlineLevel="1">
      <c r="A104" s="67" t="s">
        <v>258</v>
      </c>
      <c r="B104" s="68" t="s">
        <v>259</v>
      </c>
      <c r="C104" s="69" t="s">
        <v>7</v>
      </c>
      <c r="D104" s="69" t="s">
        <v>20</v>
      </c>
      <c r="E104" s="69"/>
      <c r="H104" s="70" t="str">
        <f t="shared" si="49"/>
        <v/>
      </c>
      <c r="I104" s="71" t="s">
        <v>64</v>
      </c>
      <c r="J104" s="71"/>
      <c r="K104" s="68"/>
    </row>
    <row r="105" outlineLevel="1">
      <c r="A105" s="67" t="s">
        <v>260</v>
      </c>
      <c r="B105" s="68" t="s">
        <v>261</v>
      </c>
      <c r="C105" s="69" t="s">
        <v>12</v>
      </c>
      <c r="D105" s="69" t="s">
        <v>18</v>
      </c>
      <c r="E105" s="69"/>
      <c r="H105" s="70" t="str">
        <f t="shared" si="49"/>
        <v/>
      </c>
      <c r="I105" s="71"/>
      <c r="J105" s="71"/>
      <c r="K105" s="68"/>
    </row>
    <row r="106" outlineLevel="1">
      <c r="A106" s="67" t="s">
        <v>262</v>
      </c>
      <c r="B106" s="68" t="s">
        <v>263</v>
      </c>
      <c r="C106" s="69" t="s">
        <v>7</v>
      </c>
      <c r="D106" s="69" t="s">
        <v>20</v>
      </c>
      <c r="E106" s="69"/>
      <c r="H106" s="70" t="str">
        <f t="shared" si="49"/>
        <v/>
      </c>
      <c r="I106" s="71" t="s">
        <v>64</v>
      </c>
      <c r="J106" s="71"/>
      <c r="K106" s="54"/>
    </row>
    <row r="107" s="138" customFormat="1" outlineLevel="1">
      <c r="A107" s="116" t="s">
        <v>264</v>
      </c>
      <c r="B107" s="117" t="s">
        <v>265</v>
      </c>
      <c r="C107" s="118" t="s">
        <v>7</v>
      </c>
      <c r="D107" s="118" t="s">
        <v>20</v>
      </c>
      <c r="E107" s="118"/>
      <c r="F107" s="115"/>
      <c r="G107" s="115"/>
      <c r="H107" s="192" t="str">
        <f t="shared" si="49"/>
        <v/>
      </c>
      <c r="I107" s="128" t="s">
        <v>64</v>
      </c>
      <c r="J107" s="118"/>
      <c r="K107" s="115"/>
    </row>
    <row r="108" ht="13.9">
      <c r="A108" s="165"/>
      <c r="B108" s="178" t="s">
        <v>74</v>
      </c>
      <c r="C108" s="164"/>
      <c r="D108" s="164"/>
      <c r="E108" s="104"/>
      <c r="F108" s="104"/>
      <c r="G108" s="179">
        <f>SUM(G2:G107)</f>
        <v>1550</v>
      </c>
      <c r="H108" s="180">
        <f>H6+H32+H63+H72+H80</f>
        <v>100</v>
      </c>
      <c r="I108" s="164"/>
      <c r="J108" s="114">
        <f>SUM(J8:J107)</f>
        <v>0</v>
      </c>
      <c r="K108" s="86"/>
    </row>
  </sheetData>
  <protectedRanges>
    <protectedRange name="interne Software_8_1_1_3" sqref="I59"/>
    <protectedRange name="interne Software_8_1_1_1" sqref="I56:I58 I60:I62"/>
    <protectedRange name="interne Software_8_1_1" sqref="I54"/>
    <protectedRange name="Input Papierverarbeitung_1" sqref="I55"/>
    <protectedRange name="interne Software_1_4" sqref="I106:I107 I103:I104"/>
    <protectedRange name="Input Papierverarbeitung_2_2" sqref="I105"/>
    <protectedRange name="interne Software_1_3" sqref="I92:I101"/>
    <protectedRange name="Input Papierverarbeitung_1_1_2" sqref="I91"/>
    <protectedRange name="Input Papierverarbeitung_1_1_1" sqref="I90"/>
    <protectedRange name="interne Software_1_1" sqref="I85 I82:I83 I87:I89"/>
    <protectedRange name="Input Papierverarbeitung_2_1" sqref="I84 I86"/>
    <protectedRange name="interne Software_17" sqref="I78:I79"/>
    <protectedRange name="interne Software_13" sqref="I74:I76"/>
    <protectedRange name="interne Software_11" sqref="I69:I70"/>
    <protectedRange name="Input Papierverarbeitung_1_2_1" sqref="I67"/>
    <protectedRange name="interne Software_10" sqref="I65:I66"/>
    <protectedRange name="Input Papierverarbeitung_5_1" sqref="I52"/>
    <protectedRange name="Input Papierverarbeitung_5" sqref="I52"/>
    <protectedRange name="interne Software_9" sqref="I51"/>
    <protectedRange name="Input Papierverarbeitung_4_1" sqref="I44"/>
    <protectedRange name="GrammaturDuplexspeed_1" sqref="I40"/>
    <protectedRange name="interne Software_8" sqref="I34:I38 I41 I43 I46:I47 I49"/>
    <protectedRange name="GrammaturDuplexdruck_1" sqref="I39"/>
    <protectedRange name="interne Software_6" sqref="I27:I28 I30:I31"/>
    <protectedRange name="interne Software_5" sqref="I20:I25"/>
    <protectedRange name="interne Software_4" sqref="I15:I18"/>
    <protectedRange name="Systemdaten_2" sqref="I14"/>
    <protectedRange name="Gerätebezeichnung_1" sqref="I8"/>
    <protectedRange name="interne Software_3" sqref="I10:I13"/>
    <protectedRange name="Systemdaten_1" sqref="I8:I9"/>
    <protectedRange name="Gerätemaße_1" sqref="I9"/>
    <protectedRange name="Input Papierverarbeitung_3" sqref="I48 I50"/>
    <protectedRange name="Systemdaten" sqref="M9:M10"/>
    <protectedRange name="interne Software_8_1" sqref="I45"/>
    <protectedRange name="interne Software_11_1" sqref="I71"/>
  </protectedRanges>
  <dataValidations count="7" disablePrompts="0">
    <dataValidation sqref="I9" type="none" allowBlank="1" errorStyle="stop" imeMode="noControl" operator="between" prompt="Maße Basisgerät incl. ALLER in dieser angebotenen Konfiguration verbauten Optionen angeben. B×H×T in cm. Bsp: Angebotene Geräteversion mit 4 statt 2 Papierkassetten !&#10;" promptTitle="Abmaße (Werte in cm angeben!)" showDropDown="0" showErrorMessage="1" showInputMessage="1"/>
    <dataValidation sqref="I8" type="none" allowBlank="1" errorStyle="stop" imeMode="noControl" operator="between" prompt="Genaue Bezeichnung des Gerätes. Bitte vollständige Bezeichnung angeben.&#10;Beispiel: Laser 1345DN für Drucker Typ 1345 Duplex + Netzwerk" promptTitle="Bezeichnung des Gerätes" showDropDown="0" showErrorMessage="1" showInputMessage="1"/>
    <dataValidation sqref="I67" type="list" allowBlank="1" errorStyle="stop" imeMode="noControl" operator="between" prompt="Bitte geben Sie hier die Version der ENERGY STAR-Spezifikation an, nach der der TEC-Wert ermittelt wurde.  (01/2020 ist Ver. 3.0 in Kraft getreten)" promptTitle="Manuelle Eingabe: ENERGY STAR" showDropDown="0" showErrorMessage="1" showInputMessage="1">
      <formula1>Hilfsabellen!$B$22:$B$24</formula1>
    </dataValidation>
    <dataValidation sqref="I89" type="list" allowBlank="1" errorStyle="stop" imeMode="noControl" operator="between" prompt="Bitte wählen Sie aus dem Dropdown-Menü CCD oder CIS aus." promptTitle="Antwort wählen" showDropDown="0" showErrorMessage="1" showInputMessage="1">
      <formula1>Hilfsabellen!$B$14:$B$16</formula1>
    </dataValidation>
    <dataValidation sqref="I92:I101 I34:I38 I41 I65:I66 I51 I85 I82:I83 I15:I18 I74:I76 I27:I28 I20:I25 I10:I13 I69:I71 I54:I62 I78:I79 I49 I43 I106:I107 I103:I104 I87:I88 I45:I47 I30:I31" type="list" allowBlank="1" errorStyle="stop" imeMode="noControl" operator="between" prompt="Bitte wählen Sie aus dem Dropdown-Menü Ja oder Nein aus." promptTitle="Antwort wählen" showDropDown="0" showErrorMessage="1" showInputMessage="1">
      <formula1>Hilfsabellen!$B$3:$B$5</formula1>
    </dataValidation>
    <dataValidation sqref="M9:M10" type="list" allowBlank="1" errorStyle="stop" imeMode="noControl" operator="between" showDropDown="0" showErrorMessage="1" showInputMessage="1">
      <formula1>Hilfsabellen!$B$3:$B$4</formula1>
    </dataValidation>
    <dataValidation sqref="N11" type="list" allowBlank="1" errorStyle="stop" imeMode="noControl" operator="between" showDropDown="0" showErrorMessage="1" showInputMessage="1">
      <formula1>Hilfsabellen!D14:D17</formula1>
    </dataValidation>
  </dataValidations>
  <printOptions headings="0" gridLines="0"/>
  <pageMargins left="0.70866141732283472" right="0.70866141732283472" top="0.98425196850393704" bottom="0.78740157480314954" header="0.31496062992125984" footer="0.31496062992125984"/>
  <pageSetup paperSize="9" scale="81" fitToWidth="1" fitToHeight="0" pageOrder="downThenOver" orientation="landscape" usePrinterDefaults="1" blackAndWhite="0" draft="0" cellComments="none" useFirstPageNumber="0" errors="displayed" horizontalDpi="600" verticalDpi="600" copies="1"/>
  <headerFooter>
    <oddHeader>&amp;L&amp;G</oddHeader>
    <oddFooter>&amp;L&amp;D&amp;CPortal ID: CXQ6YYWYWMJ&amp;R&amp;A: Seite &amp;P von &amp;N</oddFooter>
  </headerFooter>
  <drawing r:id="rId1"/>
  <legacyDrawingHF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0" operator="containsText" text="A" id="{E77C5ECB-DFC4-47B3-BB3F-483877C64544}">
            <xm:f>NOT(ISERROR(SEARCH("A",C6)))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C6:C9 C16:C25 C27:C29 C31:C41 C43:C53 C63:C67 C77 C79:C90 C92:C107</xm:sqref>
        </x14:conditionalFormatting>
        <x14:conditionalFormatting xmlns:xm="http://schemas.microsoft.com/office/excel/2006/main">
          <x14:cfRule type="containsText" priority="168" operator="containsText" text="A" id="{F9441D56-A4D1-442A-A3C2-607C403E9217}">
            <xm:f>NOT(ISERROR(SEARCH("A",C10)))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C10:C15</xm:sqref>
        </x14:conditionalFormatting>
        <x14:conditionalFormatting xmlns:xm="http://schemas.microsoft.com/office/excel/2006/main">
          <x14:cfRule type="containsText" priority="167" operator="containsText" text="A" id="{1D5DDEE5-EC40-42D1-BE1A-7F6BAB974AC3}">
            <xm:f>NOT(ISERROR(SEARCH("A",C30)))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C30</xm:sqref>
        </x14:conditionalFormatting>
        <x14:conditionalFormatting xmlns:xm="http://schemas.microsoft.com/office/excel/2006/main">
          <x14:cfRule type="containsText" priority="20" operator="containsText" text="A" id="{B192ECEF-F85E-413C-B727-F85762D4AABC}">
            <xm:f>NOT(ISERROR(SEARCH("A",C54)))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C54:C62</xm:sqref>
        </x14:conditionalFormatting>
        <x14:conditionalFormatting xmlns:xm="http://schemas.microsoft.com/office/excel/2006/main">
          <x14:cfRule type="containsText" priority="8" operator="containsText" text="A" id="{8C7402BD-AECE-4939-A515-C42CE3AA4CD8}">
            <xm:f>NOT(ISERROR(SEARCH("A",C69)))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C69:C71</xm:sqref>
        </x14:conditionalFormatting>
        <x14:conditionalFormatting xmlns:xm="http://schemas.microsoft.com/office/excel/2006/main">
          <x14:cfRule type="containsText" priority="176" operator="containsText" text="A" id="{34DAD492-8AF1-4211-A83D-883FA6FCABDD}">
            <xm:f>NOT(ISERROR(SEARCH("A",C74)))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C74:C75</xm:sqref>
        </x14:conditionalFormatting>
        <x14:conditionalFormatting xmlns:xm="http://schemas.microsoft.com/office/excel/2006/main">
          <x14:cfRule type="expression" priority="163" id="{C7F93D85-C9BE-4384-8FFE-718CE5FDCC57}">
            <xm:f>NOT(ISBLANK($I$8))</xm:f>
            <x14:dxf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</xm:sqref>
        </x14:conditionalFormatting>
        <x14:conditionalFormatting xmlns:xm="http://schemas.microsoft.com/office/excel/2006/main">
          <x14:cfRule type="cellIs" priority="159" operator="equal" id="{F56EB5BF-6218-46FC-95F9-7F0B9F138C54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I8:I13 I30 I34:I41</xm:sqref>
        </x14:conditionalFormatting>
        <x14:conditionalFormatting xmlns:xm="http://schemas.microsoft.com/office/excel/2006/main">
          <x14:cfRule type="expression" priority="162" id="{A57B7B3D-9A14-4743-BEAD-E929026E644B}">
            <xm:f>NOT(ISBLANK($I$9))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156" id="{3D068E9E-74DA-432F-B142-0DECC74C931A}">
            <xm:f>NOT(ISBLANK($I$14))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I14</xm:sqref>
        </x14:conditionalFormatting>
        <x14:conditionalFormatting xmlns:xm="http://schemas.microsoft.com/office/excel/2006/main">
          <x14:cfRule type="cellIs" priority="157" operator="equal" id="{D604789A-8E07-454F-97E5-4272F247016F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I14:I18</xm:sqref>
        </x14:conditionalFormatting>
        <x14:conditionalFormatting xmlns:xm="http://schemas.microsoft.com/office/excel/2006/main">
          <x14:cfRule type="containsText" priority="153" operator="containsText" text="nein" id="{5FF11466-8FA1-447B-A74D-BAB525FC906E}">
            <xm:f>NOT(ISERROR(SEARCH("nein",I15)))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I15 I18 I21 I23</xm:sqref>
        </x14:conditionalFormatting>
        <x14:conditionalFormatting xmlns:xm="http://schemas.microsoft.com/office/excel/2006/main">
          <x14:cfRule type="containsText" priority="158" operator="containsText" text="nein" id="{4EE87DD5-0CBE-463A-BD70-C9BC8ECC181B}">
            <xm:f>NOT(ISERROR(SEARCH("nein",I10)))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I16:I17 I10:I13</xm:sqref>
        </x14:conditionalFormatting>
        <x14:conditionalFormatting xmlns:xm="http://schemas.microsoft.com/office/excel/2006/main">
          <x14:cfRule type="containsText" priority="154" operator="containsText" text="nein" id="{18304F05-122D-4483-8F35-5D5CFB182D7E}">
            <xm:f>NOT(ISERROR(SEARCH("nein",I20)))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I20 I22 I24:I25</xm:sqref>
        </x14:conditionalFormatting>
        <x14:conditionalFormatting xmlns:xm="http://schemas.microsoft.com/office/excel/2006/main">
          <x14:cfRule type="cellIs" priority="155" operator="equal" id="{6C482216-741C-4AFF-9B50-D3DEDFAE89DC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I20:I25</xm:sqref>
        </x14:conditionalFormatting>
        <x14:conditionalFormatting xmlns:xm="http://schemas.microsoft.com/office/excel/2006/main">
          <x14:cfRule type="cellIs" priority="152" operator="equal" id="{301FAAED-71AE-4F09-96DF-1C7DB49184AC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I27:I28</xm:sqref>
        </x14:conditionalFormatting>
        <x14:conditionalFormatting xmlns:xm="http://schemas.microsoft.com/office/excel/2006/main">
          <x14:cfRule type="containsText" priority="151" operator="containsText" text="nein" id="{F06B704B-8136-4393-B51E-17958D552B45}">
            <xm:f>NOT(ISERROR(SEARCH("nein",I27)))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I27:I28</xm:sqref>
        </x14:conditionalFormatting>
        <x14:conditionalFormatting xmlns:xm="http://schemas.microsoft.com/office/excel/2006/main">
          <x14:cfRule type="containsText" priority="146" operator="containsText" text="nein" id="{F2D66C7B-4301-445D-8D95-4D56086920A7}">
            <xm:f>NOT(ISERROR(SEARCH("nein",I30)))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I30</xm:sqref>
        </x14:conditionalFormatting>
        <x14:conditionalFormatting xmlns:xm="http://schemas.microsoft.com/office/excel/2006/main">
          <x14:cfRule type="containsText" priority="1" operator="containsText" text="nein" id="{23F3A86F-FDAB-44AA-ACAB-A9CBE31C9FF3}">
            <xm:f>NOT(ISERROR(SEARCH("nein",I31)))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I31</xm:sqref>
        </x14:conditionalFormatting>
        <x14:conditionalFormatting xmlns:xm="http://schemas.microsoft.com/office/excel/2006/main">
          <x14:cfRule type="cellIs" priority="2" operator="equal" id="{22C187E4-FB0B-48DE-BFCE-B4241F771C37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I31</xm:sqref>
        </x14:conditionalFormatting>
        <x14:conditionalFormatting xmlns:xm="http://schemas.microsoft.com/office/excel/2006/main">
          <x14:cfRule type="containsText" priority="144" operator="containsText" text="nein" id="{DBED70B2-E2F2-4C65-9575-1D5144309DDC}">
            <xm:f>NOT(ISERROR(SEARCH("nein",I34)))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I34:I36 I38 I41</xm:sqref>
        </x14:conditionalFormatting>
        <x14:conditionalFormatting xmlns:xm="http://schemas.microsoft.com/office/excel/2006/main">
          <x14:cfRule type="containsText" priority="143" operator="containsText" text="nein" id="{7FE24570-3497-49B8-A865-63AC553351AD}">
            <xm:f>NOT(ISERROR(SEARCH("nein",I37)))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I37</xm:sqref>
        </x14:conditionalFormatting>
        <x14:conditionalFormatting xmlns:xm="http://schemas.microsoft.com/office/excel/2006/main">
          <x14:cfRule type="expression" priority="142" id="{1C175566-90FF-4A38-82A7-FC1A7F82D608}">
            <xm:f>NOT(ISBLANK($I$39))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I39</xm:sqref>
        </x14:conditionalFormatting>
        <x14:conditionalFormatting xmlns:xm="http://schemas.microsoft.com/office/excel/2006/main">
          <x14:cfRule type="expression" priority="141" id="{08428943-2869-4379-BAA2-33B20D3C08FB}">
            <xm:f>NOT(ISBLANK($I$40))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I40</xm:sqref>
        </x14:conditionalFormatting>
        <x14:conditionalFormatting xmlns:xm="http://schemas.microsoft.com/office/excel/2006/main">
          <x14:cfRule type="cellIs" priority="137" operator="equal" id="{E2B7CB01-4AA5-4383-99D0-846D61D3CB38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I43</xm:sqref>
        </x14:conditionalFormatting>
        <x14:conditionalFormatting xmlns:xm="http://schemas.microsoft.com/office/excel/2006/main">
          <x14:cfRule type="containsText" priority="136" operator="containsText" text="nein" id="{0DBC7260-ADDE-4ABD-A67F-98BE8BF908BB}">
            <xm:f>NOT(ISERROR(SEARCH("nein",I43)))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I43</xm:sqref>
        </x14:conditionalFormatting>
        <x14:conditionalFormatting xmlns:xm="http://schemas.microsoft.com/office/excel/2006/main">
          <x14:cfRule type="expression" priority="11" id="{7FF498A0-0555-460B-89F3-6CDC045CD4FF}">
            <xm:f>NOT(ISBLANK($I$44))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I44:I45</xm:sqref>
        </x14:conditionalFormatting>
        <x14:conditionalFormatting xmlns:xm="http://schemas.microsoft.com/office/excel/2006/main">
          <x14:cfRule type="cellIs" priority="14" operator="equal" id="{D94C3F76-FAC8-4BDF-9FA0-59C9F4212E64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I44:I47</xm:sqref>
        </x14:conditionalFormatting>
        <x14:conditionalFormatting xmlns:xm="http://schemas.microsoft.com/office/excel/2006/main">
          <x14:cfRule type="cellIs" priority="10" operator="equal" id="{64AB2CAC-E0AD-4C38-9A50-9C2E6BC80C53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I45</xm:sqref>
        </x14:conditionalFormatting>
        <x14:conditionalFormatting xmlns:xm="http://schemas.microsoft.com/office/excel/2006/main">
          <x14:cfRule type="containsText" priority="13" operator="containsText" text="nein" id="{77AF39D6-6EFD-48BB-954E-E10F40DF47FC}">
            <xm:f>NOT(ISERROR(SEARCH("nein",I45)))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I45:I47</xm:sqref>
        </x14:conditionalFormatting>
        <x14:conditionalFormatting xmlns:xm="http://schemas.microsoft.com/office/excel/2006/main">
          <x14:cfRule type="expression" priority="129" id="{0FB41EB1-FD3A-451C-946E-38F71958B24E}">
            <xm:f>NOT(ISBLANK($I$48))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I48</xm:sqref>
        </x14:conditionalFormatting>
        <x14:conditionalFormatting xmlns:xm="http://schemas.microsoft.com/office/excel/2006/main">
          <x14:cfRule type="cellIs" priority="127" operator="equal" id="{EE848EA1-898C-431C-948F-3136D49D0333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I49</xm:sqref>
        </x14:conditionalFormatting>
        <x14:conditionalFormatting xmlns:xm="http://schemas.microsoft.com/office/excel/2006/main">
          <x14:cfRule type="containsText" priority="126" operator="containsText" text="nein" id="{2ADDB9DD-37C7-4223-AC8E-3D96DB91B387}">
            <xm:f>NOT(ISERROR(SEARCH("nein",I49)))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I49</xm:sqref>
        </x14:conditionalFormatting>
        <x14:conditionalFormatting xmlns:xm="http://schemas.microsoft.com/office/excel/2006/main">
          <x14:cfRule type="expression" priority="125" id="{2C4EA438-CA35-4FEF-89AD-153D72F0ED89}">
            <xm:f>NOT(ISBLANK($I$50))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I50</xm:sqref>
        </x14:conditionalFormatting>
        <x14:conditionalFormatting xmlns:xm="http://schemas.microsoft.com/office/excel/2006/main">
          <x14:cfRule type="containsText" priority="123" operator="containsText" text="nein" id="{65434487-1343-4C43-9D3F-D0D0ED6FD092}">
            <xm:f>NOT(ISERROR(SEARCH("nein",I51)))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I51</xm:sqref>
        </x14:conditionalFormatting>
        <x14:conditionalFormatting xmlns:xm="http://schemas.microsoft.com/office/excel/2006/main">
          <x14:cfRule type="cellIs" priority="122" operator="equal" id="{1885233E-F8F1-4EA8-B1E7-281A54566C77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I51:I52</xm:sqref>
        </x14:conditionalFormatting>
        <x14:conditionalFormatting xmlns:xm="http://schemas.microsoft.com/office/excel/2006/main">
          <x14:cfRule type="expression" priority="121" id="{57F198CC-5717-4DB4-BA2A-09ECCB4C0431}">
            <xm:f>NOT(ISBLANK($I$52))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I52</xm:sqref>
        </x14:conditionalFormatting>
        <x14:conditionalFormatting xmlns:xm="http://schemas.microsoft.com/office/excel/2006/main">
          <x14:cfRule type="containsText" priority="30" operator="containsText" text="nein" id="{8C8DDA4D-8E5E-4C1D-A68C-2FCDF1FE2C3A}">
            <xm:f>NOT(ISERROR(SEARCH("nein",I54)))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I54</xm:sqref>
        </x14:conditionalFormatting>
        <x14:conditionalFormatting xmlns:xm="http://schemas.microsoft.com/office/excel/2006/main">
          <x14:cfRule type="cellIs" priority="31" operator="equal" id="{5D030BDC-CEDA-4626-A33F-AB576CB6F603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I54</xm:sqref>
        </x14:conditionalFormatting>
        <x14:conditionalFormatting xmlns:xm="http://schemas.microsoft.com/office/excel/2006/main">
          <x14:cfRule type="expression" priority="32" id="{C9B4EF1C-15A3-4FCE-972C-B0B7965403D8}">
            <xm:f>NOT(ISBLANK($I$55))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I55</xm:sqref>
        </x14:conditionalFormatting>
        <x14:conditionalFormatting xmlns:xm="http://schemas.microsoft.com/office/excel/2006/main">
          <x14:cfRule type="containsText" priority="33" operator="containsText" text="nein" id="{5376DFB0-4C12-4B72-8D4C-2A91BF410876}">
            <xm:f>NOT(ISERROR(SEARCH("nein",I56)))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I56:I61</xm:sqref>
        </x14:conditionalFormatting>
        <x14:conditionalFormatting xmlns:xm="http://schemas.microsoft.com/office/excel/2006/main">
          <x14:cfRule type="cellIs" priority="34" operator="equal" id="{3158AFF9-E014-4EDD-AFD3-80B797CC5DD3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I56:I61</xm:sqref>
        </x14:conditionalFormatting>
        <x14:conditionalFormatting xmlns:xm="http://schemas.microsoft.com/office/excel/2006/main">
          <x14:cfRule type="containsText" priority="26" operator="containsText" text="nein" id="{E20203B1-3B0C-4658-9584-078BF22D7973}">
            <xm:f>NOT(ISERROR(SEARCH("nein",I59)))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I59:I60</xm:sqref>
        </x14:conditionalFormatting>
        <x14:conditionalFormatting xmlns:xm="http://schemas.microsoft.com/office/excel/2006/main">
          <x14:cfRule type="cellIs" priority="27" operator="equal" id="{FE22B3C9-33C7-4AA4-AA85-49388455590B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I59:I60</xm:sqref>
        </x14:conditionalFormatting>
        <x14:conditionalFormatting xmlns:xm="http://schemas.microsoft.com/office/excel/2006/main">
          <x14:cfRule type="containsText" priority="18" operator="containsText" text="nein" id="{CF2BDA2F-B22D-4998-95C6-20D12CB0AEF1}">
            <xm:f>NOT(ISERROR(SEARCH("nein",I62)))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I62</xm:sqref>
        </x14:conditionalFormatting>
        <x14:conditionalFormatting xmlns:xm="http://schemas.microsoft.com/office/excel/2006/main">
          <x14:cfRule type="cellIs" priority="19" operator="equal" id="{BF2B1AB7-19A8-46D5-98BD-3249460B3D54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I62</xm:sqref>
        </x14:conditionalFormatting>
        <x14:conditionalFormatting xmlns:xm="http://schemas.microsoft.com/office/excel/2006/main">
          <x14:cfRule type="containsText" priority="118" operator="containsText" text="nein" id="{BAD1A9AA-5157-4C0A-AA60-9676F3F6D709}">
            <xm:f>NOT(ISERROR(SEARCH("nein",I65)))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I65:I66</xm:sqref>
        </x14:conditionalFormatting>
        <x14:conditionalFormatting xmlns:xm="http://schemas.microsoft.com/office/excel/2006/main">
          <x14:cfRule type="cellIs" priority="119" operator="equal" id="{00F7B1FE-2568-4E28-AA3E-CEA9E5D5F325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I65:I67</xm:sqref>
        </x14:conditionalFormatting>
        <x14:conditionalFormatting xmlns:xm="http://schemas.microsoft.com/office/excel/2006/main">
          <x14:cfRule type="containsText" priority="116" operator="containsText" text="3.0" id="{E64899F2-85B5-4BF9-B44C-B853E25F37DC}">
            <xm:f>NOT(ISERROR(SEARCH("3.0",I67)))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I67</xm:sqref>
        </x14:conditionalFormatting>
        <x14:conditionalFormatting xmlns:xm="http://schemas.microsoft.com/office/excel/2006/main">
          <x14:cfRule type="containsText" priority="117" operator="containsText" text="2.0" id="{19C4AED0-2FFC-478E-BE5D-15340F1106AA}">
            <xm:f>NOT(ISERROR(SEARCH("2.0",I67)))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I67</xm:sqref>
        </x14:conditionalFormatting>
        <x14:conditionalFormatting xmlns:xm="http://schemas.microsoft.com/office/excel/2006/main">
          <x14:cfRule type="containsText" priority="114" operator="containsText" text="nein" id="{FB80216D-44E7-4929-8B19-345232C5C459}">
            <xm:f>NOT(ISERROR(SEARCH("nein",I69)))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I69</xm:sqref>
        </x14:conditionalFormatting>
        <x14:conditionalFormatting xmlns:xm="http://schemas.microsoft.com/office/excel/2006/main">
          <x14:cfRule type="cellIs" priority="115" operator="equal" id="{D8A913C8-9B38-4EEC-B4F8-F191F7CF45CB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I69:I70</xm:sqref>
        </x14:conditionalFormatting>
        <x14:conditionalFormatting xmlns:xm="http://schemas.microsoft.com/office/excel/2006/main">
          <x14:cfRule type="containsText" priority="113" operator="containsText" text="nein" id="{A05BC181-A604-4C7D-A431-429F83F9F383}">
            <xm:f>NOT(ISERROR(SEARCH("nein",I70)))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I70</xm:sqref>
        </x14:conditionalFormatting>
        <x14:conditionalFormatting xmlns:xm="http://schemas.microsoft.com/office/excel/2006/main">
          <x14:cfRule type="containsText" priority="6" operator="containsText" text="nein" id="{6C73C519-8056-4CFB-BF91-F6E4513AB933}">
            <xm:f>NOT(ISERROR(SEARCH("nein",I71)))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I71</xm:sqref>
        </x14:conditionalFormatting>
        <x14:conditionalFormatting xmlns:xm="http://schemas.microsoft.com/office/excel/2006/main">
          <x14:cfRule type="containsText" priority="5" operator="containsText" text="nein" id="{FB7B0E80-2101-4C13-89F0-62A298E4E984}">
            <xm:f>NOT(ISERROR(SEARCH("nein",I71)))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I71</xm:sqref>
        </x14:conditionalFormatting>
        <x14:conditionalFormatting xmlns:xm="http://schemas.microsoft.com/office/excel/2006/main">
          <x14:cfRule type="cellIs" priority="7" operator="equal" id="{ECE5DC8F-F9D5-4EBC-9B31-EE8AE00CA584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I71</xm:sqref>
        </x14:conditionalFormatting>
        <x14:conditionalFormatting xmlns:xm="http://schemas.microsoft.com/office/excel/2006/main">
          <x14:cfRule type="containsText" priority="105" operator="containsText" text="nein" id="{91E1E900-1573-4505-8536-12E78A5F7B6C}">
            <xm:f>NOT(ISERROR(SEARCH("nein",I74)))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I74:I75</xm:sqref>
        </x14:conditionalFormatting>
        <x14:conditionalFormatting xmlns:xm="http://schemas.microsoft.com/office/excel/2006/main">
          <x14:cfRule type="cellIs" priority="106" operator="equal" id="{AAF3DA99-7D29-4AEC-89ED-E3E3C10DDADC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I74:I76</xm:sqref>
        </x14:conditionalFormatting>
        <x14:conditionalFormatting xmlns:xm="http://schemas.microsoft.com/office/excel/2006/main">
          <x14:cfRule type="containsText" priority="104" operator="containsText" text="nein" id="{D6B70DAA-C0F4-45F8-914D-02F7878D2BF7}">
            <xm:f>NOT(ISERROR(SEARCH("nein",I76)))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I76</xm:sqref>
        </x14:conditionalFormatting>
        <x14:conditionalFormatting xmlns:xm="http://schemas.microsoft.com/office/excel/2006/main">
          <x14:cfRule type="cellIs" priority="103" operator="equal" id="{75A28514-5C13-4672-9ED6-4113571A0E75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I78:I79</xm:sqref>
        </x14:conditionalFormatting>
        <x14:conditionalFormatting xmlns:xm="http://schemas.microsoft.com/office/excel/2006/main">
          <x14:cfRule type="containsText" priority="82" operator="containsText" text="nein" id="{CA9B9058-ABF1-4B1D-B444-5C2C87102378}">
            <xm:f>NOT(ISERROR(SEARCH("nein",I78)))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I78:I79</xm:sqref>
        </x14:conditionalFormatting>
        <x14:conditionalFormatting xmlns:xm="http://schemas.microsoft.com/office/excel/2006/main">
          <x14:cfRule type="containsText" priority="99" operator="containsText" text="nein" id="{2B0B520D-63D3-4043-8624-56EB66C0CCFF}">
            <xm:f>NOT(ISERROR(SEARCH("nein",I82)))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I82:I83 I85 I87</xm:sqref>
        </x14:conditionalFormatting>
        <x14:conditionalFormatting xmlns:xm="http://schemas.microsoft.com/office/excel/2006/main">
          <x14:cfRule type="cellIs" priority="100" operator="equal" id="{68062BAB-4159-4E72-81B9-678997FC7F1F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I82:I88</xm:sqref>
        </x14:conditionalFormatting>
        <x14:conditionalFormatting xmlns:xm="http://schemas.microsoft.com/office/excel/2006/main">
          <x14:cfRule type="expression" priority="97" id="{59A0B764-5247-49C9-B742-14B5F995A799}">
            <xm:f>NOT(ISBLANK($I$84))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I84</xm:sqref>
        </x14:conditionalFormatting>
        <x14:conditionalFormatting xmlns:xm="http://schemas.microsoft.com/office/excel/2006/main">
          <x14:cfRule type="expression" priority="96" id="{E1975831-7C27-46EB-9010-FC0AE5595134}">
            <xm:f>NOT(ISBLANK($I$86))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I86</xm:sqref>
        </x14:conditionalFormatting>
        <x14:conditionalFormatting xmlns:xm="http://schemas.microsoft.com/office/excel/2006/main">
          <x14:cfRule type="containsText" priority="23" operator="containsText" text="nein" id="{6441E09D-CB71-4ED3-BC8B-F272CF7DAC44}">
            <xm:f>NOT(ISERROR(SEARCH("nein",I88)))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I88</xm:sqref>
        </x14:conditionalFormatting>
        <x14:conditionalFormatting xmlns:xm="http://schemas.microsoft.com/office/excel/2006/main">
          <x14:cfRule type="containsText" priority="94" operator="containsText" text="CIS" id="{C3B16A73-7F93-42A9-8B40-FDA1E551F4FF}">
            <xm:f>NOT(ISERROR(SEARCH("CIS",I89)))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I89</xm:sqref>
        </x14:conditionalFormatting>
        <x14:conditionalFormatting xmlns:xm="http://schemas.microsoft.com/office/excel/2006/main">
          <x14:cfRule type="containsText" priority="95" operator="containsText" text="CCD" id="{C9377D6C-9570-48EF-8150-5852B011D168}">
            <xm:f>NOT(ISERROR(SEARCH("CCD",I89)))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I89</xm:sqref>
        </x14:conditionalFormatting>
        <x14:conditionalFormatting xmlns:xm="http://schemas.microsoft.com/office/excel/2006/main">
          <x14:cfRule type="cellIs" priority="90" operator="equal" id="{E83CAAF9-1620-4623-B022-285B29E34832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I89:I100</xm:sqref>
        </x14:conditionalFormatting>
        <x14:conditionalFormatting xmlns:xm="http://schemas.microsoft.com/office/excel/2006/main">
          <x14:cfRule type="expression" priority="93" id="{3BE18998-C476-41C2-9884-C9B3DB654EEA}">
            <xm:f>NOT(ISBLANK($I$90))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I90</xm:sqref>
        </x14:conditionalFormatting>
        <x14:conditionalFormatting xmlns:xm="http://schemas.microsoft.com/office/excel/2006/main">
          <x14:cfRule type="expression" priority="91" id="{4555AECA-D901-4369-9FD3-48A6B4DB829A}">
            <xm:f>NOT(ISBLANK($I$91))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I91</xm:sqref>
        </x14:conditionalFormatting>
        <x14:conditionalFormatting xmlns:xm="http://schemas.microsoft.com/office/excel/2006/main">
          <x14:cfRule type="containsText" priority="89" operator="containsText" text="nein" id="{EC0DD20A-B661-4ED3-BFE5-DE22AC04A412}">
            <xm:f>NOT(ISERROR(SEARCH("nein",I92)))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I92:I94 I96 I98</xm:sqref>
        </x14:conditionalFormatting>
        <x14:conditionalFormatting xmlns:xm="http://schemas.microsoft.com/office/excel/2006/main">
          <x14:cfRule type="containsText" priority="88" operator="containsText" text="nein" id="{E1F3AC27-2E6A-4D5F-AFEE-3B402A2B9936}">
            <xm:f>NOT(ISERROR(SEARCH("nein",I95)))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I95 I97 I99:I100</xm:sqref>
        </x14:conditionalFormatting>
        <x14:conditionalFormatting xmlns:xm="http://schemas.microsoft.com/office/excel/2006/main">
          <x14:cfRule type="containsText" priority="15" operator="containsText" text="nein" id="{C61FDA53-478C-495E-B59D-C78339072515}">
            <xm:f>NOT(ISERROR(SEARCH("nein",I101)))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I101</xm:sqref>
        </x14:conditionalFormatting>
        <x14:conditionalFormatting xmlns:xm="http://schemas.microsoft.com/office/excel/2006/main">
          <x14:cfRule type="cellIs" priority="16" operator="equal" id="{5F7347B3-515D-441A-86EC-3BAAF5722D5F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I101</xm:sqref>
        </x14:conditionalFormatting>
        <x14:conditionalFormatting xmlns:xm="http://schemas.microsoft.com/office/excel/2006/main">
          <x14:cfRule type="containsText" priority="86" operator="containsText" text="nein" id="{C7E7C71B-FE3F-4ADD-9EE7-2D8450EAF39C}">
            <xm:f>NOT(ISERROR(SEARCH("nein",I103)))</xm:f>
            <x14:dxf>
              <font>
                <color rgb="FFC00000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I103:I104 I106:I107</xm:sqref>
        </x14:conditionalFormatting>
        <x14:conditionalFormatting xmlns:xm="http://schemas.microsoft.com/office/excel/2006/main">
          <x14:cfRule type="cellIs" priority="87" operator="equal" id="{0715BC8C-436F-4286-A9B8-F6FD12B4A030}">
            <xm:f>"ja"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I103:I107</xm:sqref>
        </x14:conditionalFormatting>
        <x14:conditionalFormatting xmlns:xm="http://schemas.microsoft.com/office/excel/2006/main">
          <x14:cfRule type="expression" priority="85" id="{D6B35BED-9401-4648-937E-B56208C19E11}">
            <xm:f>NOT(ISBLANK($I$105))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I105</xm:sqref>
        </x14:conditionalFormatting>
        <x14:conditionalFormatting xmlns:xm="http://schemas.microsoft.com/office/excel/2006/main">
          <x14:cfRule type="cellIs" priority="45" operator="equal" id="{B36DA80E-E8DC-4D3D-9F86-09855193281C}">
            <xm:f>10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J59</xm:sqref>
        </x14:conditionalFormatting>
        <x14:conditionalFormatting xmlns:xm="http://schemas.microsoft.com/office/excel/2006/main">
          <x14:cfRule type="containsText" priority="181" operator="containsText" text="nein" id="{8352BB70-1921-4FEE-9105-C135A3718E3D}">
            <xm:f>NOT(ISERROR(SEARCH("nein",M9)))</xm:f>
            <x14:dxf>
              <border>
                <left style="thin">
                  <color rgb="FF9C0006"/>
                </left>
                <right style="thin">
                  <color rgb="FF9C0006"/>
                </right>
                <top style="thin">
                  <color rgb="FF9C0006"/>
                </top>
                <bottom style="thin">
                  <color rgb="FF9C0006"/>
                </bottom>
                <diagonal style="none"/>
                <vertical style="none"/>
                <horizontal style="none"/>
              </border>
            </x14:dxf>
          </x14:cfRule>
          <xm:sqref>M9:M10</xm:sqref>
        </x14:conditionalFormatting>
        <x14:conditionalFormatting xmlns:xm="http://schemas.microsoft.com/office/excel/2006/main">
          <x14:cfRule type="containsText" priority="182" operator="containsText" text="nein" id="{813B15CA-ADD6-4F7F-AC37-16610DA5222F}">
            <xm:f>NOT(ISERROR(SEARCH("nein",M9)))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M9:M10</xm:sqref>
        </x14:conditionalFormatting>
        <x14:conditionalFormatting xmlns:xm="http://schemas.microsoft.com/office/excel/2006/main">
          <x14:cfRule type="containsText" priority="183" operator="containsText" text="ja" id="{D2B3B0A1-B5DF-46FC-904A-27F412A52650}">
            <xm:f>NOT(ISERROR(SEARCH("ja",M9)))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m:sqref>M9:M10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7" disablePrompts="0">
        <x14:dataValidation xr:uid="{96D4FEA7-ACD2-4953-BFB8-BBBD0D71B18B}" type="whole" allowBlank="1" error="Die eingegebenen Wete liegen außerhalb des erlaubten Bereichs: Zahlen von 20-300" errorStyle="stop" errorTitle="Ungültige Werte" imeMode="noControl" operator="between" prompt="Bitte geben Sie hier die maximale Scangeschwindigkeit für einseitige Dokumente an. (Werte zwischen 20-300)" promptTitle="Manuelle Eingabe: Scans pro min" showDropDown="0" showErrorMessage="1" showInputMessage="1">
          <x14:formula1>
            <xm:f>20</xm:f>
          </x14:formula1>
          <x14:formula2>
            <xm:f>300</xm:f>
          </x14:formula2>
          <xm:sqref>I90</xm:sqref>
        </x14:dataValidation>
        <x14:dataValidation xr:uid="{AC132D00-A98E-4E7C-A32F-6E0DAC3B8A65}" type="whole" allowBlank="1" error="Die eingegebenen Werte liegen außerhalb des erlaubten Bereichs: Zahlen von 10-500" errorStyle="stop" errorTitle="Ungültige Werte" imeMode="noControl" operator="between" prompt="Bitte geben Sie hier die maximale Scangeschwindigkeit für zweiseitige Dokumente an. (Werte zwischen 10-500)" promptTitle="Manuelle Eingabe: Scans pro min" showDropDown="0" showErrorMessage="1" showInputMessage="1">
          <x14:formula1>
            <xm:f>10</xm:f>
          </x14:formula1>
          <x14:formula2>
            <xm:f>500</xm:f>
          </x14:formula2>
          <xm:sqref>I91</xm:sqref>
        </x14:dataValidation>
        <x14:dataValidation xr:uid="{37CE2ECC-C326-445C-8691-2FD26DFE47D9}" type="whole" allowBlank="1" error="Die eingegebenen Werte liegen außerhalb des erlaubten Bereichs: Zahlen von 600-10.000, sonst sprechen wir nicht von einem Großraummagazin ;-)" errorStyle="stop" errorTitle="Ungültige Werte" imeMode="noControl" operator="between" prompt="Bitte geben Sie hier die maximale Blattzahl (Papier 80 g/m²) an, die in dem Großraummagazin verarbeitet werden kann." promptTitle="Manuelle Eingabe: Anzahl Blätter" showDropDown="0" showErrorMessage="1" showInputMessage="1">
          <x14:formula1>
            <xm:f>600</xm:f>
          </x14:formula1>
          <x14:formula2>
            <xm:f>10000</xm:f>
          </x14:formula2>
          <xm:sqref>I52</xm:sqref>
        </x14:dataValidation>
        <x14:dataValidation xr:uid="{47DE11EB-0B13-4C16-968E-D64B3EEDE819}" type="whole" allowBlank="1" error="Die eingegebenen Werte liegen außerhalb des erlaubten Bereichs: Zahlen von 500-5.000" errorStyle="stop" errorTitle="Mindestmenge beachten" imeMode="noControl" operator="between" prompt="Bitte geben Sie hier die maximale Blattzahl (Papier 80 g/m²) an, die in einer Papierkassette verarbeitet werden kann. (Mindestwert 500 beachten!)" promptTitle="Manuelle Eingabe: Anzahl Blätter" showDropDown="0" showErrorMessage="1" showInputMessage="1">
          <x14:formula1>
            <xm:f>500</xm:f>
          </x14:formula1>
          <x14:formula2>
            <xm:f>5000</xm:f>
          </x14:formula2>
          <xm:sqref>I44:I45</xm:sqref>
        </x14:dataValidation>
        <x14:dataValidation xr:uid="{D9771E78-0948-4B08-A707-C421DEF47225}" type="decimal" allowBlank="1" error="Die eingegebenen Werte liegen außerhalb des erlaubten Bereichs: Zahlen von 1-100" errorStyle="stop" errorTitle="Ungültige Werte" imeMode="noControl" operator="between" prompt="Geben Sie prozentual die max. Druckgeschw. im Duplexbetrieb an. Bsp.: Wenn das 30 S./min.-Gerät im Duplexmodus nur noch 20 S./min. schafft, geben Sie bitte &quot;66&quot; an." promptTitle="Druckgeschw. im Duplexmodus" showDropDown="0" showErrorMessage="1" showInputMessage="1">
          <x14:formula1>
            <xm:f>1</xm:f>
          </x14:formula1>
          <x14:formula2>
            <xm:f>100</xm:f>
          </x14:formula2>
          <xm:sqref>I40</xm:sqref>
        </x14:dataValidation>
        <x14:dataValidation xr:uid="{802E793C-4B2A-4307-BE8E-866FD6F2B8D3}" type="whole" allowBlank="1" error="Die eingegebenen Werte liegen außerhalb des erlaubten Bereichs: Zahlen von 80-550" errorStyle="stop" errorTitle="Ungültige Werte" imeMode="noControl" operator="between" prompt="Bitte geben Sie die max. Grammatur für Duplexdrucke an." promptTitle="max. Duplexgrammatur" showDropDown="0" showErrorMessage="1" showInputMessage="1">
          <x14:formula1>
            <xm:f>80</xm:f>
          </x14:formula1>
          <x14:formula2>
            <xm:f>550</xm:f>
          </x14:formula2>
          <xm:sqref>I39</xm:sqref>
        </x14:dataValidation>
        <x14:dataValidation xr:uid="{E1D6C997-568B-4AD4-9241-F3035ABCF95E}" type="whole" allowBlank="1" error="Die eingegebenen Werte liegen außerhalb des erlaubten Bereichs: Zahlen von 2-6" errorStyle="stop" errorTitle="Ungültige Werte" imeMode="noControl" operator="between" prompt="Bitte die maximale Anzahl an Papierkassetten als numerischen Wert eingeben. Bei zwei Kassetten also bitte &quot;2&quot;." promptTitle="max. Anz. an Papierkassetten" showDropDown="0" showErrorMessage="1" showInputMessage="1">
          <x14:formula1>
            <xm:f>2</xm:f>
          </x14:formula1>
          <x14:formula2>
            <xm:f>6</xm:f>
          </x14:formula2>
          <xm:sqref>I48</xm:sqref>
        </x14:dataValidation>
        <x14:dataValidation xr:uid="{4012DDB6-7C5F-413B-84DB-740992933867}" type="whole" allowBlank="1" error="Die eingegebenen Werte liegen außerhalb des erlaubten Bereichs: Zahlen von 1.000-10.000" errorStyle="stop" errorTitle="Ungültige Werte" imeMode="noControl" operator="between" prompt="Bitte geben Sie hier die maximale Blattzahl (Papier 80 g/m²) an, die in dem Großraummagazin verarbeitet werden kann." promptTitle="Manuelle Eingabe: Anzahl Blätter" showDropDown="0" showErrorMessage="1" showInputMessage="1">
          <x14:formula1>
            <xm:f>1000</xm:f>
          </x14:formula1>
          <x14:formula2>
            <xm:f>10000</xm:f>
          </x14:formula2>
          <xm:sqref>I50</xm:sqref>
        </x14:dataValidation>
        <x14:dataValidation xr:uid="{AB20BDC8-A919-412C-987B-1113D4767552}" type="whole" allowBlank="1" error="Die eingegebenen Werte liegen außerhalb des erlaubten Bereichs: Zahlen von 50-500" errorStyle="stop" errorTitle="Ungültige Werte" imeMode="noControl" operator="between" prompt="Bitte geben Sie hier die maximale Blattzahl (Papier 80 g/m²) an, die mit dem Vorlageneinzug verarbeitet werden kann." promptTitle="Manuelle Eingabe: Anzahl Blätter" showDropDown="0" showErrorMessage="1" showInputMessage="1">
          <x14:formula1>
            <xm:f>50</xm:f>
          </x14:formula1>
          <x14:formula2>
            <xm:f>500</xm:f>
          </x14:formula2>
          <xm:sqref>I84</xm:sqref>
        </x14:dataValidation>
        <x14:dataValidation xr:uid="{C87ECE56-2A40-4781-A2C9-A88397EAF15C}" type="whole" allowBlank="1" error="Die eingegebenen Wete liegen außerhalb des erlaubten Bereichs: Zahlen von 600-9600" errorStyle="stop" errorTitle="Ungültige Werte" imeMode="noControl" operator="between" prompt="Bitte geben Sie hier die maximale optische Scanauflösung an" promptTitle="Manuelle Eingabe: Auflösung" showDropDown="0" showErrorMessage="1" showInputMessage="1">
          <x14:formula1>
            <xm:f>600</xm:f>
          </x14:formula1>
          <x14:formula2>
            <xm:f>9600</xm:f>
          </x14:formula2>
          <xm:sqref>I86</xm:sqref>
        </x14:dataValidation>
        <x14:dataValidation xr:uid="{9D30B152-7395-4326-9280-788C81E7153C}" type="whole" allowBlank="1" error="Die eingegebenen Wete liegen außerhalb des erlaubten Bereichs: Zahlen von 600-9600" errorStyle="stop" errorTitle="Ungültige Werte" imeMode="noControl" operator="between" prompt="Bitte geben Sie hier die maximale optische Kopienauflösung an" promptTitle="Manuelle Eingabe: Auflösung" showDropDown="0" showErrorMessage="1" showInputMessage="1">
          <x14:formula1>
            <xm:f>600</xm:f>
          </x14:formula1>
          <x14:formula2>
            <xm:f>9600</xm:f>
          </x14:formula2>
          <xm:sqref>I105</xm:sqref>
        </x14:dataValidation>
        <x14:dataValidation xr:uid="{E2CB88CC-1896-4654-80DE-C8F0734CDEE2}" type="list" allowBlank="1" errorStyle="stop" imeMode="noControl" operator="between" showDropDown="0" showErrorMessage="1" showInputMessage="1">
          <x14:formula1>
            <xm:f>Kopiergeschw.</xm:f>
          </x14:formula1>
          <xm:sqref>N13</xm:sqref>
        </x14:dataValidation>
        <x14:dataValidation xr:uid="{F517D551-21D1-435A-9504-A75D02C4487A}" type="list" allowBlank="1" errorStyle="stop" imeMode="noControl" operator="between" showDropDown="0" showErrorMessage="1" showInputMessage="1">
          <x14:formula1>
            <xm:f>Papierformate</xm:f>
          </x14:formula1>
          <xm:sqref>N12</xm:sqref>
        </x14:dataValidation>
        <x14:dataValidation xr:uid="{BBB15236-0ACC-4F59-89E4-774E8ED1C221}" type="whole" allowBlank="1" error="500 Blatt Ausgabekapazität ist Minium.&#10;Eingaben zulässig: Zahlen von 500-3500" errorStyle="stop" errorTitle="Außerhalb Bereich" imeMode="noControl" operator="between" prompt="Bitte geben Sie hier die maximale Grammatur in g/m² an, die über die Zusatzzufuhr verarbeitet werden kann." promptTitle="Manuelle Eingabe: max. Grammatur" showDropDown="0" showErrorMessage="1" showInputMessage="1">
          <x14:formula1>
            <xm:f>500</xm:f>
          </x14:formula1>
          <x14:formula2>
            <xm:f>3500</xm:f>
          </x14:formula2>
          <xm:sqref>I55</xm:sqref>
        </x14:dataValidation>
        <x14:dataValidation xr:uid="{27378438-4203-4FD7-A10C-8BA2382F1AD0}" type="list" allowBlank="1" errorStyle="stop" imeMode="noControl" operator="between" showDropDown="0" showErrorMessage="1" showInputMessage="1">
          <x14:formula1>
            <xm:f>MFG</xm:f>
          </x14:formula1>
          <xm:sqref>O8</xm:sqref>
        </x14:dataValidation>
        <x14:dataValidation xr:uid="{FE37CF95-1B24-4446-AF7D-D84BB3F6A41C}" type="list" allowBlank="1" errorStyle="stop" imeMode="noControl" operator="between" showDropDown="0" showErrorMessage="1" showInputMessage="1">
          <x14:formula1>
            <xm:f>Druckvolumen</xm:f>
          </x14:formula1>
          <xm:sqref>N9:N10</xm:sqref>
        </x14:dataValidation>
        <x14:dataValidation xr:uid="{C44A7A58-B82E-452B-BC62-A263F0511212}" type="whole" allowBlank="1" error="Das Gerät muss mit mindestens 512 MB RAM ausgestattet sein.&#10;Maximale RAM Ausstattung 16.384 MB" errorStyle="stop" errorTitle="Gültige Werte" imeMode="noControl" operator="between" prompt="Geben Sie hier die Größe des Speichers in MB an." promptTitle="RAM-Größe in MB" showDropDown="0" showErrorMessage="1" showInputMessage="1">
          <x14:formula1>
            <xm:f>512</xm:f>
          </x14:formula1>
          <x14:formula2>
            <xm:f>16384</xm:f>
          </x14:formula2>
          <xm:sqref>I14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Tabelle12"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A1" activeCellId="0" sqref="A1"/>
    </sheetView>
  </sheetViews>
  <sheetFormatPr baseColWidth="10" defaultColWidth="10.86328125" defaultRowHeight="13.5"/>
  <cols>
    <col customWidth="1" min="1" max="1" style="66" width="27.86328125"/>
    <col customWidth="1" min="2" max="2" style="66" width="20.796875"/>
    <col customWidth="1" min="3" max="3" style="66" width="14.53125"/>
    <col min="4" max="16384" style="66" width="10.86328125"/>
  </cols>
  <sheetData>
    <row r="1" ht="22.5">
      <c r="A1" s="193" t="s">
        <v>324</v>
      </c>
    </row>
    <row r="3" ht="40.5">
      <c r="A3" s="194" t="s">
        <v>325</v>
      </c>
      <c r="B3" s="195" t="s">
        <v>326</v>
      </c>
      <c r="C3" s="196" t="s">
        <v>327</v>
      </c>
    </row>
    <row r="4">
      <c r="A4" s="66" t="s">
        <v>328</v>
      </c>
      <c r="B4" s="82">
        <f>'Generelle Fragen LK-unabhängig'!J11</f>
        <v>0</v>
      </c>
      <c r="C4" s="197">
        <f>'Generelle Fragen LK-unabhängig'!G11</f>
        <v>200</v>
      </c>
    </row>
    <row r="5">
      <c r="A5" s="198" t="e">
        <f>#REF!</f>
        <v>#REF!</v>
      </c>
      <c r="B5" s="82" t="e">
        <f>#REF!</f>
        <v>#REF!</v>
      </c>
      <c r="C5" s="197" t="e">
        <f>#REF!</f>
        <v>#REF!</v>
      </c>
    </row>
    <row r="6">
      <c r="A6" s="198" t="e">
        <f>#REF!</f>
        <v>#REF!</v>
      </c>
      <c r="B6" s="82" t="e">
        <f>#REF!</f>
        <v>#REF!</v>
      </c>
      <c r="C6" s="197" t="e">
        <f>#REF!</f>
        <v>#REF!</v>
      </c>
    </row>
    <row r="7">
      <c r="A7" s="198" t="e">
        <f>#REF!</f>
        <v>#REF!</v>
      </c>
      <c r="B7" s="82" t="e">
        <f>#REF!</f>
        <v>#REF!</v>
      </c>
      <c r="C7" s="197" t="e">
        <f>#REF!</f>
        <v>#REF!</v>
      </c>
    </row>
    <row r="8">
      <c r="A8" s="198" t="str">
        <f>'Leistungsklasse 1'!A2</f>
        <v xml:space="preserve">Leistungsklasse 1</v>
      </c>
      <c r="B8" s="82">
        <f>'Leistungsklasse 1'!J96</f>
        <v>0</v>
      </c>
      <c r="C8" s="197">
        <f>'Leistungsklasse 1'!G96</f>
        <v>1720</v>
      </c>
    </row>
    <row r="9">
      <c r="A9" s="198" t="e">
        <f>#REF!</f>
        <v>#REF!</v>
      </c>
      <c r="B9" s="82" t="e">
        <f>#REF!</f>
        <v>#REF!</v>
      </c>
      <c r="C9" s="197" t="e">
        <f>#REF!</f>
        <v>#REF!</v>
      </c>
    </row>
    <row r="10">
      <c r="A10" s="198" t="str">
        <f>'Leistungsklasse 2'!A2</f>
        <v xml:space="preserve">Leistungsklasse 2</v>
      </c>
      <c r="B10" s="82">
        <f>'Leistungsklasse 2'!J106</f>
        <v>0</v>
      </c>
      <c r="C10" s="197">
        <f>'Leistungsklasse 2'!G106</f>
        <v>1530</v>
      </c>
    </row>
    <row r="11">
      <c r="A11" s="198" t="e">
        <f>#REF!</f>
        <v>#REF!</v>
      </c>
      <c r="B11" s="82" t="e">
        <f>#REF!</f>
        <v>#REF!</v>
      </c>
      <c r="C11" s="197" t="e">
        <f>#REF!</f>
        <v>#REF!</v>
      </c>
    </row>
    <row r="12">
      <c r="A12" s="198" t="str">
        <f>'Leistungsklasse 3'!A2</f>
        <v xml:space="preserve">Leistungsklasse 3</v>
      </c>
      <c r="B12" s="82">
        <f>'Leistungsklasse 3'!J108</f>
        <v>0</v>
      </c>
      <c r="C12" s="197">
        <f>'Leistungsklasse 3'!G108</f>
        <v>1550</v>
      </c>
    </row>
    <row r="13" ht="20.649999999999999">
      <c r="A13" s="199" t="s">
        <v>329</v>
      </c>
      <c r="B13" s="200" t="e">
        <f>SUM(B5:B12)</f>
        <v>#REF!</v>
      </c>
      <c r="C13" s="201" t="e">
        <f>SUM(C5:C12)</f>
        <v>#REF!</v>
      </c>
    </row>
    <row r="17">
      <c r="C17" s="197"/>
    </row>
    <row r="19">
      <c r="C19" s="202"/>
    </row>
  </sheetData>
  <printOptions headings="0" gridLines="0"/>
  <pageMargins left="0.70866141732283472" right="0.70866141732283472" top="1.181102362204725" bottom="0.78740157480314954" header="0.31496062992125984" footer="0.31496062992125984"/>
  <pageSetup paperSize="9" scale="100" fitToWidth="1" fitToHeight="1" pageOrder="downThenOver" orientation="portrait" usePrinterDefaults="1" blackAndWhite="0" draft="0" cellComments="none" useFirstPageNumber="0" errors="displayed" horizontalDpi="1200" verticalDpi="1200" copies="1"/>
  <headerFooter>
    <oddHeader>&amp;L&amp;G</oddHeader>
    <oddFooter>&amp;L&amp;D&amp;R&amp;A: Seite &amp;P von &amp;N</oddFooter>
  </headerFooter>
  <legacyDrawingHF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Tabelle3">
    <outlinePr applyStyles="0" summaryBelow="1" summaryRight="1" showOutlineSymbols="1"/>
    <pageSetUpPr autoPageBreaks="1" fitToPage="0"/>
  </sheetPr>
  <sheetViews>
    <sheetView zoomScale="115" workbookViewId="0">
      <selection activeCell="B9" activeCellId="0" sqref="B9"/>
    </sheetView>
  </sheetViews>
  <sheetFormatPr baseColWidth="10" defaultRowHeight="14.25"/>
  <sheetData>
    <row r="2">
      <c r="B2" s="26" t="s">
        <v>324</v>
      </c>
      <c r="D2" s="26" t="s">
        <v>330</v>
      </c>
      <c r="F2" s="26" t="s">
        <v>331</v>
      </c>
      <c r="H2" s="26" t="s">
        <v>332</v>
      </c>
      <c r="J2" s="26" t="s">
        <v>333</v>
      </c>
    </row>
    <row r="3">
      <c r="B3" s="203" t="s">
        <v>64</v>
      </c>
      <c r="D3" t="s">
        <v>334</v>
      </c>
      <c r="F3" s="39" t="s">
        <v>335</v>
      </c>
      <c r="H3" t="s">
        <v>336</v>
      </c>
      <c r="J3" s="1" t="s">
        <v>337</v>
      </c>
    </row>
    <row r="4">
      <c r="B4" s="4" t="s">
        <v>338</v>
      </c>
      <c r="D4" t="s">
        <v>339</v>
      </c>
      <c r="F4" s="39" t="s">
        <v>340</v>
      </c>
      <c r="H4" t="s">
        <v>341</v>
      </c>
      <c r="J4" s="1" t="s">
        <v>342</v>
      </c>
    </row>
    <row r="5">
      <c r="B5" s="4" t="s">
        <v>343</v>
      </c>
      <c r="D5" t="s">
        <v>344</v>
      </c>
      <c r="F5" s="39" t="s">
        <v>345</v>
      </c>
      <c r="H5" t="s">
        <v>346</v>
      </c>
      <c r="J5" s="1" t="s">
        <v>347</v>
      </c>
    </row>
    <row r="6">
      <c r="F6" s="39" t="s">
        <v>348</v>
      </c>
      <c r="K6" s="41"/>
    </row>
    <row r="7">
      <c r="K7" s="204"/>
    </row>
    <row r="8">
      <c r="B8" s="26" t="s">
        <v>349</v>
      </c>
      <c r="D8" s="26" t="s">
        <v>350</v>
      </c>
    </row>
    <row r="9">
      <c r="B9" s="203" t="s">
        <v>64</v>
      </c>
      <c r="D9" t="s">
        <v>351</v>
      </c>
    </row>
    <row r="10">
      <c r="B10" t="s">
        <v>352</v>
      </c>
      <c r="D10" t="s">
        <v>353</v>
      </c>
      <c r="K10" s="41"/>
    </row>
    <row r="11">
      <c r="B11" t="s">
        <v>354</v>
      </c>
      <c r="D11" t="s">
        <v>355</v>
      </c>
    </row>
    <row r="13">
      <c r="B13" s="26" t="s">
        <v>356</v>
      </c>
      <c r="D13" s="26" t="s">
        <v>357</v>
      </c>
      <c r="J13" s="26" t="s">
        <v>358</v>
      </c>
    </row>
    <row r="14">
      <c r="B14" s="203" t="s">
        <v>64</v>
      </c>
      <c r="D14" t="s">
        <v>359</v>
      </c>
      <c r="J14" t="s">
        <v>360</v>
      </c>
    </row>
    <row r="15">
      <c r="B15" t="s">
        <v>361</v>
      </c>
      <c r="D15" t="s">
        <v>362</v>
      </c>
      <c r="J15" t="s">
        <v>363</v>
      </c>
    </row>
    <row r="16">
      <c r="B16" t="s">
        <v>364</v>
      </c>
    </row>
    <row r="21">
      <c r="B21" s="26" t="s">
        <v>365</v>
      </c>
      <c r="D21" s="26" t="s">
        <v>366</v>
      </c>
      <c r="F21" s="26" t="s">
        <v>367</v>
      </c>
    </row>
    <row r="22">
      <c r="B22" s="203" t="s">
        <v>64</v>
      </c>
      <c r="D22" t="s">
        <v>368</v>
      </c>
      <c r="F22" t="s">
        <v>369</v>
      </c>
    </row>
    <row r="23">
      <c r="B23" s="1" t="s">
        <v>370</v>
      </c>
      <c r="D23" t="s">
        <v>371</v>
      </c>
      <c r="F23" t="s">
        <v>372</v>
      </c>
    </row>
    <row r="24">
      <c r="B24" s="205" t="s">
        <v>373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8232657A807C498C76E694FB2DEE01" ma:contentTypeVersion="0" ma:contentTypeDescription="Ein neues Dokument erstellen." ma:contentTypeScope="" ma:versionID="d8becf64a030d21f5846de05d5fb53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6c0a9e5d4eebbd19b40c2f7800ae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This value indicates the number of saves or revisions. The application is responsible for updating this value after each revision.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C99CE897-9240-4C5C-8B91-636DAFC322D9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0FE8256B-DFC4-43D8-B98C-4F6F281BAEFA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  <ds:schemaRef ds:uri="http://www.w3.org/2001/XMLSchema-instance"/>
  </ds:schemaRefs>
</ds:datastoreItem>
</file>

<file path=customXml/itemProps3.xml><?xml version="1.0" encoding="utf-8"?>
<ds:datastoreItem xmlns:ds="http://schemas.openxmlformats.org/officeDocument/2006/customXml" ds:itemID="71A05D9F-416C-42DC-BB6E-23E104E54854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Bewertungsmatrix mit Gewichtungen</dc:title>
  <dc:creator>Jens Bordeaux</dc:creator>
  <cp:lastModifiedBy>Martin Diedrich</cp:lastModifiedBy>
  <cp:revision>6</cp:revision>
  <dcterms:created xsi:type="dcterms:W3CDTF">2015-06-16T06:41:33Z</dcterms:created>
  <dcterms:modified xsi:type="dcterms:W3CDTF">2026-10-05T13:58:48Z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0x010100028232657A807C498C76E694FB2DEE01</vt:lpwstr>
  </property>
</Properties>
</file>