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G:\Projekte_HIFU\2118_004\02_AG\LP5-6\SV_an\20260716_EM_an_Wertungsmatrix\"/>
    </mc:Choice>
  </mc:AlternateContent>
  <xr:revisionPtr revIDLastSave="0" documentId="13_ncr:1_{D78A60B2-BC91-4C40-BCC3-38AFDE3EE430}" xr6:coauthVersionLast="47" xr6:coauthVersionMax="47" xr10:uidLastSave="{00000000-0000-0000-0000-000000000000}"/>
  <bookViews>
    <workbookView xWindow="51240" yWindow="-48" windowWidth="20832" windowHeight="16812" activeTab="1" xr2:uid="{99259E73-BCA1-4967-9FED-591505FA608E}"/>
  </bookViews>
  <sheets>
    <sheet name="Erläuterung" sheetId="5" r:id="rId1"/>
    <sheet name="Wertungsmatrix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3" i="5" l="1"/>
  <c r="D33" i="5"/>
  <c r="F32" i="5"/>
  <c r="D32" i="5"/>
  <c r="H24" i="5"/>
  <c r="F19" i="5"/>
  <c r="H13" i="5"/>
  <c r="F33" i="2"/>
  <c r="D33" i="2"/>
  <c r="F32" i="2"/>
  <c r="D32" i="2"/>
  <c r="J24" i="2"/>
  <c r="I24" i="2"/>
  <c r="H24" i="2"/>
  <c r="J17" i="2"/>
  <c r="I17" i="2"/>
  <c r="J16" i="2"/>
  <c r="I16" i="2"/>
  <c r="F19" i="2"/>
  <c r="H9" i="2"/>
  <c r="B33" i="5" l="1"/>
  <c r="D19" i="5" l="1"/>
  <c r="B32" i="5"/>
  <c r="J23" i="2" l="1"/>
  <c r="J26" i="2" s="1"/>
  <c r="J33" i="2" s="1"/>
  <c r="I23" i="2"/>
  <c r="I26" i="2" s="1"/>
  <c r="I33" i="2" s="1"/>
  <c r="H23" i="2"/>
  <c r="H26" i="2" s="1"/>
  <c r="J12" i="2"/>
  <c r="I12" i="2"/>
  <c r="H12" i="2"/>
  <c r="H14" i="2" s="1"/>
  <c r="H22" i="2" s="1"/>
  <c r="J13" i="2"/>
  <c r="J9" i="2"/>
  <c r="I13" i="2"/>
  <c r="I9" i="2"/>
  <c r="H13" i="2"/>
  <c r="H10" i="2"/>
  <c r="H11" i="2" s="1"/>
  <c r="B32" i="2" l="1"/>
  <c r="H32" i="2"/>
  <c r="B33" i="2"/>
  <c r="H33" i="2"/>
  <c r="I14" i="2"/>
  <c r="I22" i="2" s="1"/>
  <c r="I32" i="2" s="1"/>
  <c r="J14" i="2"/>
  <c r="J22" i="2" s="1"/>
  <c r="J32" i="2" s="1"/>
  <c r="J10" i="2"/>
  <c r="J11" i="2" s="1"/>
  <c r="I10" i="2"/>
  <c r="I11" i="2" s="1"/>
  <c r="H15" i="2"/>
  <c r="I15" i="2" l="1"/>
  <c r="I19" i="2" s="1"/>
  <c r="I34" i="2" s="1"/>
  <c r="J15" i="2"/>
  <c r="J19" i="2" s="1"/>
  <c r="J34" i="2" s="1"/>
  <c r="D19" i="2"/>
  <c r="H19" i="2"/>
  <c r="H34" i="2" s="1"/>
  <c r="H36" i="2" l="1"/>
  <c r="J36" i="2"/>
  <c r="I36" i="2"/>
</calcChain>
</file>

<file path=xl/sharedStrings.xml><?xml version="1.0" encoding="utf-8"?>
<sst xmlns="http://schemas.openxmlformats.org/spreadsheetml/2006/main" count="171" uniqueCount="66">
  <si>
    <t>EUR/kWh</t>
  </si>
  <si>
    <t>EUR/a</t>
  </si>
  <si>
    <t>Nutzungszeitraum, n</t>
  </si>
  <si>
    <t>Realzinssatz, i</t>
  </si>
  <si>
    <t>a</t>
  </si>
  <si>
    <t>%</t>
  </si>
  <si>
    <t>EUR</t>
  </si>
  <si>
    <t>x</t>
  </si>
  <si>
    <t>=</t>
  </si>
  <si>
    <t>Preissteigerung sonst. Kosten außer Energiekosten, r1</t>
  </si>
  <si>
    <t>Energiekostenpreissteigerung, r2</t>
  </si>
  <si>
    <t>Rang</t>
  </si>
  <si>
    <t>[ - ]</t>
  </si>
  <si>
    <t>kW</t>
  </si>
  <si>
    <t>Betriebsstunden Vollast</t>
  </si>
  <si>
    <t>Bh/a</t>
  </si>
  <si>
    <t>Enthaltene Mehrwertsteuer, z. Zt. 19 %</t>
  </si>
  <si>
    <t>Nachlass</t>
  </si>
  <si>
    <t>Angebotssumme brutto</t>
  </si>
  <si>
    <t>Wertbarer Nachlass, kein Skonto</t>
  </si>
  <si>
    <t>Bieter 1</t>
  </si>
  <si>
    <t>Bieter 2</t>
  </si>
  <si>
    <t>Bieter 3</t>
  </si>
  <si>
    <t>Wertung der Angebote</t>
  </si>
  <si>
    <t>Preis</t>
  </si>
  <si>
    <t>Angebotssumme brutto, einschl. wertbarer Nachlass (kein Skonto!) = Preis - Nachlass</t>
  </si>
  <si>
    <t>MwSt</t>
  </si>
  <si>
    <t>Netto o. N.</t>
  </si>
  <si>
    <t>Energiekosten zum Bezugszeitpunkt, LK2 = Energiebedarf x Betriebsstunden x Stromkosten</t>
  </si>
  <si>
    <t>JK1</t>
  </si>
  <si>
    <t>JK2</t>
  </si>
  <si>
    <t>Name</t>
  </si>
  <si>
    <t>EUR/4a</t>
  </si>
  <si>
    <t>Wartungskosten, Summe Titel 3.11+6.9, netto (Gesamtsumme über 4 Jahre!)</t>
  </si>
  <si>
    <t>Wartungskosten, Summe Titel 3.11, netto (Gesamtsumme über 4 Jahre!)</t>
  </si>
  <si>
    <t>Wartungskosten, Summe Titel 6.9, netto (Gesamtsumme über 4 Jahre!)</t>
  </si>
  <si>
    <t>Energiebedarf Abluftbehandlung 1 bei maximalen Durchsatz und bei maximaler Ionisation, Volllast, Pos. 3.4.10</t>
  </si>
  <si>
    <t>Energiebedarf Abluftbehandlung 2 bei maximalen Durchsatz und bei maximaler Ionisation, Volllast, Pos. 6.4.10</t>
  </si>
  <si>
    <t>Energiebedarf bei maximalen Durchsatz und bei maximaler Ionisation, Volllast,  Abluftanlage 1 + 2</t>
  </si>
  <si>
    <t>Stromkosten 2026, netto</t>
  </si>
  <si>
    <t>IKBW, Angebotssumme netto, einschl. wertbarer Nachlass (kein Skonto!) = Preis - Nachlass - MwSt</t>
  </si>
  <si>
    <t>Investitionskosten, netto =Angebotssumme, netto - Wartungskosten (netto)</t>
  </si>
  <si>
    <t>JK1 aus Investiotionskosten = IK1 x KFAKR(i,n)</t>
  </si>
  <si>
    <t>Ermittlung der Jahreskosten JK1 aus Investitionskosten</t>
  </si>
  <si>
    <t>Ermittlung der Jahreskosten aus laufenden Kosten für Wartung (JK2) und Energie (JK3)</t>
  </si>
  <si>
    <t>Gesamtkosten Wartung, LK2, - Nachlass</t>
  </si>
  <si>
    <t>Ermittlung der Jahreskosten JK2 und JK3 aus den laufenden Kosten LK2 und LK3</t>
  </si>
  <si>
    <t>JK2 aus Laufenden Kosten außer Energie = LK2 * DFAKRP(r1,i,n) x KFAKR(i,n)</t>
  </si>
  <si>
    <t>JK3 aus Laufenden Kosten Energie = LK3 * DFAKRP(r2,i,n) x KFAKR(i,n)</t>
  </si>
  <si>
    <t>Jahreskosten gesamt = JK1+JK2+JK3</t>
  </si>
  <si>
    <t>Rang (Kleinster Wert = Rang 1)</t>
  </si>
  <si>
    <t>Energiebedarf Abluftanl. 1</t>
  </si>
  <si>
    <t>Wartung Abluftanlage 1</t>
  </si>
  <si>
    <t>Wartung Abluftanlage 2</t>
  </si>
  <si>
    <t>Energiebedarf Abluftanl. 2</t>
  </si>
  <si>
    <t>Preis o. N</t>
  </si>
  <si>
    <t>Wartung 1 + 2</t>
  </si>
  <si>
    <t>Wartungskosten, Summe Titel 3.11+Titel 6.9, netto (Gesamtsumme über 4 Jahre! - Nachlass)</t>
  </si>
  <si>
    <t>Wartung 1+ 2 o. Nachlass</t>
  </si>
  <si>
    <t>Netto - Wartung</t>
  </si>
  <si>
    <t>Wartung 1+2 o.N./4 Jahre</t>
  </si>
  <si>
    <t>Energ.-Bed. 1+2</t>
  </si>
  <si>
    <t>LK2</t>
  </si>
  <si>
    <t>JK3</t>
  </si>
  <si>
    <t>Jkges.</t>
  </si>
  <si>
    <t>Eingabeparameter, Beispielzahlen ohne Projektbezug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</si>
</sst>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1" fillId="2" borderId="1" xfId="0" applyFont="1" applyFill="1" applyBorder="1"/>
    <xf numFmtId="0" fontId="0" fillId="2" borderId="2" xfId="0" applyFill="1" applyBorder="1"/>
    <xf numFmtId="0" fontId="0" fillId="2" borderId="1" xfId="0" applyFill="1" applyBorder="1"/>
    <xf numFmtId="0" fontId="1" fillId="2" borderId="3" xfId="0" applyFont="1" applyFill="1" applyBorder="1"/>
    <xf numFmtId="0" fontId="1" fillId="2" borderId="4" xfId="0" applyFont="1" applyFill="1" applyBorder="1"/>
    <xf numFmtId="4" fontId="0" fillId="2" borderId="1" xfId="0" applyNumberFormat="1" applyFill="1" applyBorder="1"/>
    <xf numFmtId="2" fontId="0" fillId="2" borderId="1" xfId="0" applyNumberFormat="1" applyFill="1" applyBorder="1"/>
    <xf numFmtId="2" fontId="1" fillId="2" borderId="1" xfId="0" applyNumberFormat="1" applyFont="1" applyFill="1" applyBorder="1"/>
    <xf numFmtId="4" fontId="0" fillId="2" borderId="3" xfId="0" applyNumberFormat="1" applyFill="1" applyBorder="1"/>
    <xf numFmtId="0" fontId="0" fillId="2" borderId="4" xfId="0" quotePrefix="1" applyFill="1" applyBorder="1"/>
    <xf numFmtId="4" fontId="1" fillId="3" borderId="1" xfId="0" applyNumberFormat="1" applyFont="1" applyFill="1" applyBorder="1"/>
    <xf numFmtId="0" fontId="1" fillId="2" borderId="1" xfId="0" applyFont="1" applyFill="1" applyBorder="1" applyAlignment="1">
      <alignment horizontal="center"/>
    </xf>
    <xf numFmtId="4" fontId="1" fillId="2" borderId="1" xfId="0" applyNumberFormat="1" applyFont="1" applyFill="1" applyBorder="1"/>
    <xf numFmtId="0" fontId="1" fillId="2" borderId="4" xfId="0" quotePrefix="1" applyFont="1" applyFill="1" applyBorder="1"/>
    <xf numFmtId="0" fontId="0" fillId="2" borderId="2" xfId="0" applyFont="1" applyFill="1" applyBorder="1"/>
    <xf numFmtId="0" fontId="0" fillId="2" borderId="3" xfId="0" applyFont="1" applyFill="1" applyBorder="1"/>
    <xf numFmtId="0" fontId="0" fillId="2" borderId="4" xfId="0" applyFont="1" applyFill="1" applyBorder="1"/>
    <xf numFmtId="4" fontId="0" fillId="2" borderId="1" xfId="0" applyNumberFormat="1" applyFont="1" applyFill="1" applyBorder="1"/>
    <xf numFmtId="0" fontId="0" fillId="2" borderId="1" xfId="0" applyFont="1" applyFill="1" applyBorder="1"/>
    <xf numFmtId="4" fontId="0" fillId="2" borderId="1" xfId="0" quotePrefix="1" applyNumberFormat="1" applyFont="1" applyFill="1" applyBorder="1"/>
    <xf numFmtId="0" fontId="2" fillId="0" borderId="0" xfId="0" applyFont="1"/>
    <xf numFmtId="4" fontId="2" fillId="3" borderId="1" xfId="0" applyNumberFormat="1" applyFont="1" applyFill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A0B02-2ECE-4C06-A05B-93D750CC4031}">
  <dimension ref="A1:I36"/>
  <sheetViews>
    <sheetView workbookViewId="0">
      <selection activeCell="H8" sqref="H8"/>
    </sheetView>
  </sheetViews>
  <sheetFormatPr baseColWidth="10" defaultRowHeight="13.2" x14ac:dyDescent="0.25"/>
  <cols>
    <col min="1" max="1" width="69.88671875" customWidth="1"/>
    <col min="2" max="2" width="11.6640625" bestFit="1" customWidth="1"/>
    <col min="3" max="3" width="2" bestFit="1" customWidth="1"/>
    <col min="4" max="4" width="11.6640625" bestFit="1" customWidth="1"/>
    <col min="5" max="5" width="2" bestFit="1" customWidth="1"/>
    <col min="6" max="6" width="8" bestFit="1" customWidth="1"/>
    <col min="7" max="7" width="2.109375" bestFit="1" customWidth="1"/>
    <col min="8" max="8" width="23.77734375" bestFit="1" customWidth="1"/>
  </cols>
  <sheetData>
    <row r="1" spans="1:9" x14ac:dyDescent="0.25">
      <c r="A1" s="1" t="s">
        <v>23</v>
      </c>
      <c r="B1" s="2"/>
      <c r="C1" s="2"/>
      <c r="D1" s="2"/>
      <c r="E1" s="2"/>
      <c r="F1" s="2"/>
      <c r="G1" s="3"/>
      <c r="H1" s="4" t="s">
        <v>20</v>
      </c>
      <c r="I1" s="4"/>
    </row>
    <row r="2" spans="1:9" x14ac:dyDescent="0.25">
      <c r="A2" s="5"/>
      <c r="B2" s="2"/>
      <c r="C2" s="2"/>
      <c r="D2" s="2"/>
      <c r="E2" s="2"/>
      <c r="F2" s="2"/>
      <c r="G2" s="3"/>
      <c r="H2" s="15" t="s">
        <v>31</v>
      </c>
      <c r="I2" s="6"/>
    </row>
    <row r="3" spans="1:9" x14ac:dyDescent="0.25">
      <c r="A3" s="1" t="s">
        <v>18</v>
      </c>
      <c r="B3" s="7"/>
      <c r="C3" s="7"/>
      <c r="D3" s="7"/>
      <c r="E3" s="7"/>
      <c r="F3" s="7"/>
      <c r="G3" s="8"/>
      <c r="H3" s="14" t="s">
        <v>24</v>
      </c>
      <c r="I3" s="4" t="s">
        <v>6</v>
      </c>
    </row>
    <row r="4" spans="1:9" x14ac:dyDescent="0.25">
      <c r="A4" s="1" t="s">
        <v>19</v>
      </c>
      <c r="B4" s="7"/>
      <c r="C4" s="7"/>
      <c r="D4" s="7"/>
      <c r="E4" s="7"/>
      <c r="F4" s="7"/>
      <c r="G4" s="8"/>
      <c r="H4" s="14" t="s">
        <v>17</v>
      </c>
      <c r="I4" s="4" t="s">
        <v>5</v>
      </c>
    </row>
    <row r="5" spans="1:9" x14ac:dyDescent="0.25">
      <c r="A5" s="1" t="s">
        <v>34</v>
      </c>
      <c r="B5" s="2"/>
      <c r="C5" s="2"/>
      <c r="D5" s="2"/>
      <c r="E5" s="2"/>
      <c r="F5" s="2"/>
      <c r="G5" s="3"/>
      <c r="H5" s="14" t="s">
        <v>52</v>
      </c>
      <c r="I5" s="4" t="s">
        <v>32</v>
      </c>
    </row>
    <row r="6" spans="1:9" x14ac:dyDescent="0.25">
      <c r="A6" s="1" t="s">
        <v>35</v>
      </c>
      <c r="B6" s="2"/>
      <c r="C6" s="2"/>
      <c r="D6" s="2"/>
      <c r="E6" s="2"/>
      <c r="F6" s="2"/>
      <c r="G6" s="3"/>
      <c r="H6" s="14" t="s">
        <v>53</v>
      </c>
      <c r="I6" s="4" t="s">
        <v>32</v>
      </c>
    </row>
    <row r="7" spans="1:9" x14ac:dyDescent="0.25">
      <c r="A7" s="1" t="s">
        <v>36</v>
      </c>
      <c r="B7" s="7"/>
      <c r="C7" s="7"/>
      <c r="D7" s="7"/>
      <c r="E7" s="7"/>
      <c r="F7" s="7"/>
      <c r="G7" s="8"/>
      <c r="H7" s="14" t="s">
        <v>51</v>
      </c>
      <c r="I7" s="4" t="s">
        <v>13</v>
      </c>
    </row>
    <row r="8" spans="1:9" x14ac:dyDescent="0.25">
      <c r="A8" s="1" t="s">
        <v>37</v>
      </c>
      <c r="B8" s="7"/>
      <c r="C8" s="7"/>
      <c r="D8" s="7"/>
      <c r="E8" s="7"/>
      <c r="F8" s="7"/>
      <c r="G8" s="8"/>
      <c r="H8" s="14" t="s">
        <v>54</v>
      </c>
      <c r="I8" s="4" t="s">
        <v>13</v>
      </c>
    </row>
    <row r="9" spans="1:9" x14ac:dyDescent="0.25">
      <c r="A9" s="5" t="s">
        <v>25</v>
      </c>
      <c r="B9" s="2"/>
      <c r="C9" s="2"/>
      <c r="D9" s="2"/>
      <c r="E9" s="2"/>
      <c r="F9" s="2"/>
      <c r="G9" s="3"/>
      <c r="H9" s="9" t="s">
        <v>55</v>
      </c>
      <c r="I9" s="6" t="s">
        <v>6</v>
      </c>
    </row>
    <row r="10" spans="1:9" x14ac:dyDescent="0.25">
      <c r="A10" s="5" t="s">
        <v>16</v>
      </c>
      <c r="B10" s="2"/>
      <c r="C10" s="2"/>
      <c r="D10" s="2"/>
      <c r="E10" s="2"/>
      <c r="F10" s="2"/>
      <c r="G10" s="3"/>
      <c r="H10" s="9" t="s">
        <v>26</v>
      </c>
      <c r="I10" s="6" t="s">
        <v>6</v>
      </c>
    </row>
    <row r="11" spans="1:9" x14ac:dyDescent="0.25">
      <c r="A11" s="5" t="s">
        <v>40</v>
      </c>
      <c r="B11" s="2"/>
      <c r="C11" s="2"/>
      <c r="D11" s="2"/>
      <c r="E11" s="2"/>
      <c r="F11" s="2"/>
      <c r="G11" s="3"/>
      <c r="H11" s="16" t="s">
        <v>27</v>
      </c>
      <c r="I11" s="4" t="s">
        <v>6</v>
      </c>
    </row>
    <row r="12" spans="1:9" x14ac:dyDescent="0.25">
      <c r="A12" s="18" t="s">
        <v>33</v>
      </c>
      <c r="B12" s="19"/>
      <c r="C12" s="19"/>
      <c r="D12" s="19"/>
      <c r="E12" s="19"/>
      <c r="F12" s="19"/>
      <c r="G12" s="20"/>
      <c r="H12" s="23" t="s">
        <v>56</v>
      </c>
      <c r="I12" s="22" t="s">
        <v>32</v>
      </c>
    </row>
    <row r="13" spans="1:9" x14ac:dyDescent="0.25">
      <c r="A13" s="5" t="s">
        <v>19</v>
      </c>
      <c r="B13" s="2"/>
      <c r="C13" s="2"/>
      <c r="D13" s="2"/>
      <c r="E13" s="2"/>
      <c r="F13" s="2"/>
      <c r="G13" s="3"/>
      <c r="H13" s="9" t="str">
        <f>H4</f>
        <v>Nachlass</v>
      </c>
      <c r="I13" s="6" t="s">
        <v>5</v>
      </c>
    </row>
    <row r="14" spans="1:9" x14ac:dyDescent="0.25">
      <c r="A14" s="1" t="s">
        <v>57</v>
      </c>
      <c r="B14" s="7"/>
      <c r="C14" s="7"/>
      <c r="D14" s="7"/>
      <c r="E14" s="7"/>
      <c r="F14" s="7"/>
      <c r="G14" s="8"/>
      <c r="H14" s="16" t="s">
        <v>58</v>
      </c>
      <c r="I14" s="4" t="s">
        <v>32</v>
      </c>
    </row>
    <row r="15" spans="1:9" x14ac:dyDescent="0.25">
      <c r="A15" s="1" t="s">
        <v>41</v>
      </c>
      <c r="B15" s="7"/>
      <c r="C15" s="7"/>
      <c r="D15" s="7"/>
      <c r="E15" s="7"/>
      <c r="F15" s="7"/>
      <c r="G15" s="8"/>
      <c r="H15" s="16" t="s">
        <v>59</v>
      </c>
      <c r="I15" s="4" t="s">
        <v>6</v>
      </c>
    </row>
    <row r="16" spans="1:9" x14ac:dyDescent="0.25">
      <c r="A16" s="5" t="s">
        <v>2</v>
      </c>
      <c r="B16" s="2"/>
      <c r="C16" s="2"/>
      <c r="D16" s="2"/>
      <c r="E16" s="2"/>
      <c r="F16" s="2"/>
      <c r="G16" s="3"/>
      <c r="H16" s="6">
        <v>15</v>
      </c>
      <c r="I16" s="6" t="s">
        <v>4</v>
      </c>
    </row>
    <row r="17" spans="1:9" x14ac:dyDescent="0.25">
      <c r="A17" s="5" t="s">
        <v>3</v>
      </c>
      <c r="B17" s="2"/>
      <c r="C17" s="2"/>
      <c r="D17" s="2"/>
      <c r="E17" s="2"/>
      <c r="F17" s="2"/>
      <c r="G17" s="3"/>
      <c r="H17" s="6">
        <v>3</v>
      </c>
      <c r="I17" s="6" t="s">
        <v>5</v>
      </c>
    </row>
    <row r="18" spans="1:9" x14ac:dyDescent="0.25">
      <c r="A18" s="1" t="s">
        <v>43</v>
      </c>
      <c r="B18" s="2"/>
      <c r="C18" s="2"/>
      <c r="D18" s="2"/>
      <c r="E18" s="2"/>
      <c r="F18" s="2"/>
      <c r="G18" s="3"/>
      <c r="H18" s="6"/>
      <c r="I18" s="6"/>
    </row>
    <row r="19" spans="1:9" x14ac:dyDescent="0.25">
      <c r="A19" s="1" t="s">
        <v>42</v>
      </c>
      <c r="B19" s="12"/>
      <c r="C19" s="2"/>
      <c r="D19" s="12" t="str">
        <f>H15</f>
        <v>Netto - Wartung</v>
      </c>
      <c r="E19" s="2" t="s">
        <v>7</v>
      </c>
      <c r="F19" s="2">
        <f>ROUND((H17/100*(1+H17/100)^H16)/((1+H17/100)^H16-1),5)</f>
        <v>8.3769999999999997E-2</v>
      </c>
      <c r="G19" s="13" t="s">
        <v>8</v>
      </c>
      <c r="H19" s="16" t="s">
        <v>29</v>
      </c>
      <c r="I19" s="4" t="s">
        <v>1</v>
      </c>
    </row>
    <row r="20" spans="1:9" x14ac:dyDescent="0.25">
      <c r="A20" s="5"/>
      <c r="B20" s="2"/>
      <c r="C20" s="2"/>
      <c r="D20" s="2"/>
      <c r="E20" s="2"/>
      <c r="F20" s="2"/>
      <c r="G20" s="3"/>
      <c r="H20" s="10"/>
      <c r="I20" s="10"/>
    </row>
    <row r="21" spans="1:9" x14ac:dyDescent="0.25">
      <c r="A21" s="1" t="s">
        <v>44</v>
      </c>
      <c r="B21" s="2"/>
      <c r="C21" s="2"/>
      <c r="D21" s="2"/>
      <c r="E21" s="2"/>
      <c r="F21" s="2"/>
      <c r="G21" s="3"/>
      <c r="H21" s="9"/>
      <c r="I21" s="6"/>
    </row>
    <row r="22" spans="1:9" x14ac:dyDescent="0.25">
      <c r="A22" s="5" t="s">
        <v>45</v>
      </c>
      <c r="B22" s="2"/>
      <c r="C22" s="2"/>
      <c r="D22" s="2"/>
      <c r="E22" s="2"/>
      <c r="F22" s="2"/>
      <c r="G22" s="3"/>
      <c r="H22" s="16" t="s">
        <v>60</v>
      </c>
      <c r="I22" s="6" t="s">
        <v>1</v>
      </c>
    </row>
    <row r="23" spans="1:9" x14ac:dyDescent="0.25">
      <c r="A23" s="18" t="s">
        <v>38</v>
      </c>
      <c r="B23" s="19"/>
      <c r="C23" s="19"/>
      <c r="D23" s="19"/>
      <c r="E23" s="19"/>
      <c r="F23" s="19"/>
      <c r="G23" s="20"/>
      <c r="H23" s="21" t="s">
        <v>61</v>
      </c>
      <c r="I23" s="22" t="s">
        <v>13</v>
      </c>
    </row>
    <row r="24" spans="1:9" x14ac:dyDescent="0.25">
      <c r="A24" s="5" t="s">
        <v>14</v>
      </c>
      <c r="B24" s="2"/>
      <c r="C24" s="2"/>
      <c r="D24" s="2"/>
      <c r="E24" s="2"/>
      <c r="F24" s="2"/>
      <c r="G24" s="3"/>
      <c r="H24" s="9">
        <f>8670/2+8670/4</f>
        <v>6502.5</v>
      </c>
      <c r="I24" s="6" t="s">
        <v>15</v>
      </c>
    </row>
    <row r="25" spans="1:9" x14ac:dyDescent="0.25">
      <c r="A25" s="5" t="s">
        <v>39</v>
      </c>
      <c r="B25" s="2"/>
      <c r="C25" s="2"/>
      <c r="D25" s="2"/>
      <c r="E25" s="2"/>
      <c r="F25" s="2"/>
      <c r="G25" s="3"/>
      <c r="H25" s="9">
        <v>0.17</v>
      </c>
      <c r="I25" s="6" t="s">
        <v>0</v>
      </c>
    </row>
    <row r="26" spans="1:9" x14ac:dyDescent="0.25">
      <c r="A26" s="5" t="s">
        <v>28</v>
      </c>
      <c r="B26" s="2"/>
      <c r="C26" s="2"/>
      <c r="D26" s="2"/>
      <c r="E26" s="2"/>
      <c r="F26" s="2"/>
      <c r="G26" s="3"/>
      <c r="H26" s="9" t="s">
        <v>62</v>
      </c>
      <c r="I26" s="6" t="s">
        <v>1</v>
      </c>
    </row>
    <row r="27" spans="1:9" x14ac:dyDescent="0.25">
      <c r="A27" s="5" t="s">
        <v>2</v>
      </c>
      <c r="B27" s="2"/>
      <c r="C27" s="2"/>
      <c r="D27" s="2"/>
      <c r="E27" s="2"/>
      <c r="F27" s="2"/>
      <c r="G27" s="3"/>
      <c r="H27" s="6">
        <v>15</v>
      </c>
      <c r="I27" s="6" t="s">
        <v>4</v>
      </c>
    </row>
    <row r="28" spans="1:9" x14ac:dyDescent="0.25">
      <c r="A28" s="5" t="s">
        <v>3</v>
      </c>
      <c r="B28" s="2"/>
      <c r="C28" s="2"/>
      <c r="D28" s="2"/>
      <c r="E28" s="2"/>
      <c r="F28" s="2"/>
      <c r="G28" s="3"/>
      <c r="H28" s="6">
        <v>3</v>
      </c>
      <c r="I28" s="6" t="s">
        <v>5</v>
      </c>
    </row>
    <row r="29" spans="1:9" x14ac:dyDescent="0.25">
      <c r="A29" s="5" t="s">
        <v>9</v>
      </c>
      <c r="B29" s="2"/>
      <c r="C29" s="2"/>
      <c r="D29" s="2"/>
      <c r="E29" s="2"/>
      <c r="F29" s="2"/>
      <c r="G29" s="3"/>
      <c r="H29" s="6">
        <v>1</v>
      </c>
      <c r="I29" s="6" t="s">
        <v>5</v>
      </c>
    </row>
    <row r="30" spans="1:9" x14ac:dyDescent="0.25">
      <c r="A30" s="5" t="s">
        <v>10</v>
      </c>
      <c r="B30" s="2"/>
      <c r="C30" s="2"/>
      <c r="D30" s="2"/>
      <c r="E30" s="2"/>
      <c r="F30" s="2"/>
      <c r="G30" s="3"/>
      <c r="H30" s="6">
        <v>2.5</v>
      </c>
      <c r="I30" s="6" t="s">
        <v>5</v>
      </c>
    </row>
    <row r="31" spans="1:9" x14ac:dyDescent="0.25">
      <c r="A31" s="5" t="s">
        <v>46</v>
      </c>
      <c r="B31" s="2"/>
      <c r="C31" s="2"/>
      <c r="D31" s="2"/>
      <c r="E31" s="2"/>
      <c r="F31" s="2"/>
      <c r="G31" s="3"/>
      <c r="H31" s="6"/>
      <c r="I31" s="6"/>
    </row>
    <row r="32" spans="1:9" x14ac:dyDescent="0.25">
      <c r="A32" s="1" t="s">
        <v>47</v>
      </c>
      <c r="B32" s="12" t="str">
        <f>H22</f>
        <v>Wartung 1+2 o.N./4 Jahre</v>
      </c>
      <c r="C32" s="2" t="s">
        <v>7</v>
      </c>
      <c r="D32" s="2">
        <f>ROUND((1+H29/100)*((1+H28/100)^H27-(1+H29/100)^H27)/((1+H28/100)^H27*(H28/100-H29/100)),5)</f>
        <v>12.868320000000001</v>
      </c>
      <c r="E32" s="2" t="s">
        <v>7</v>
      </c>
      <c r="F32" s="2">
        <f>ROUND((H28/100*(1+H28/100)^H27)/((1+H28/100)^H27-1),5)</f>
        <v>8.3769999999999997E-2</v>
      </c>
      <c r="G32" s="13" t="s">
        <v>8</v>
      </c>
      <c r="H32" s="16" t="s">
        <v>30</v>
      </c>
      <c r="I32" s="4" t="s">
        <v>1</v>
      </c>
    </row>
    <row r="33" spans="1:9" x14ac:dyDescent="0.25">
      <c r="A33" s="1" t="s">
        <v>48</v>
      </c>
      <c r="B33" s="12" t="str">
        <f>H26</f>
        <v>LK2</v>
      </c>
      <c r="C33" s="2" t="s">
        <v>7</v>
      </c>
      <c r="D33" s="2">
        <f>ROUND((1+H30/100)*((1+H28/100)^H27-(1+H30/100)^H27)/((1+H28/100)^H27*(H28/100-H30/100)),5)</f>
        <v>14.43047</v>
      </c>
      <c r="E33" s="2" t="s">
        <v>7</v>
      </c>
      <c r="F33" s="2">
        <f>ROUND((H28/100*(1+H28/100)^H27)/((1+H28/100)^H27-1),5)</f>
        <v>8.3769999999999997E-2</v>
      </c>
      <c r="G33" s="13" t="s">
        <v>8</v>
      </c>
      <c r="H33" s="16" t="s">
        <v>63</v>
      </c>
      <c r="I33" s="4" t="s">
        <v>1</v>
      </c>
    </row>
    <row r="34" spans="1:9" x14ac:dyDescent="0.25">
      <c r="A34" s="1" t="s">
        <v>49</v>
      </c>
      <c r="B34" s="7"/>
      <c r="C34" s="7"/>
      <c r="D34" s="7"/>
      <c r="E34" s="7"/>
      <c r="F34" s="7"/>
      <c r="G34" s="17" t="s">
        <v>8</v>
      </c>
      <c r="H34" s="16" t="s">
        <v>64</v>
      </c>
      <c r="I34" s="4" t="s">
        <v>1</v>
      </c>
    </row>
    <row r="35" spans="1:9" x14ac:dyDescent="0.25">
      <c r="A35" s="5"/>
      <c r="B35" s="2"/>
      <c r="C35" s="2"/>
      <c r="D35" s="2"/>
      <c r="E35" s="2"/>
      <c r="F35" s="2"/>
      <c r="G35" s="3"/>
      <c r="H35" s="10"/>
      <c r="I35" s="10"/>
    </row>
    <row r="36" spans="1:9" x14ac:dyDescent="0.25">
      <c r="A36" s="1" t="s">
        <v>50</v>
      </c>
      <c r="B36" s="7"/>
      <c r="C36" s="7"/>
      <c r="D36" s="7"/>
      <c r="E36" s="7"/>
      <c r="F36" s="7"/>
      <c r="G36" s="8"/>
      <c r="H36" s="11" t="s">
        <v>11</v>
      </c>
      <c r="I36" s="11" t="s">
        <v>12</v>
      </c>
    </row>
  </sheetData>
  <printOptions verticalCentered="1"/>
  <pageMargins left="0.9055118110236221" right="0.70866141732283472" top="0.98425196850393704" bottom="0.78740157480314965" header="0.9055118110236221" footer="0.31496062992125984"/>
  <pageSetup paperSize="8" orientation="landscape" horizontalDpi="1200" verticalDpi="1200" r:id="rId1"/>
  <headerFooter>
    <oddHeader>&amp;LWEB - Kläranlage Wolfsburg-Stahlberg&amp;CWertung Wirtschaftlichkeit Los 2: TA VPT+EMSR Abluft BA 1&amp;RAbluftbehandlung 
&amp;P/&amp;N</oddHeader>
    <oddFooter>&amp;C- Wolfsburger Entwässerungsbetriebe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8"/>
  <sheetViews>
    <sheetView tabSelected="1" workbookViewId="0">
      <selection activeCell="A38" sqref="A38"/>
    </sheetView>
  </sheetViews>
  <sheetFormatPr baseColWidth="10" defaultRowHeight="13.2" x14ac:dyDescent="0.25"/>
  <cols>
    <col min="1" max="1" width="69.88671875" customWidth="1"/>
    <col min="2" max="2" width="11.6640625" bestFit="1" customWidth="1"/>
    <col min="3" max="3" width="2" bestFit="1" customWidth="1"/>
    <col min="4" max="4" width="11.6640625" bestFit="1" customWidth="1"/>
    <col min="5" max="5" width="2" bestFit="1" customWidth="1"/>
    <col min="6" max="6" width="8" bestFit="1" customWidth="1"/>
    <col min="7" max="7" width="2.109375" bestFit="1" customWidth="1"/>
  </cols>
  <sheetData>
    <row r="1" spans="1:11" x14ac:dyDescent="0.25">
      <c r="A1" s="1" t="s">
        <v>23</v>
      </c>
      <c r="B1" s="2"/>
      <c r="C1" s="2"/>
      <c r="D1" s="2"/>
      <c r="E1" s="2"/>
      <c r="F1" s="2"/>
      <c r="G1" s="3"/>
      <c r="H1" s="4" t="s">
        <v>20</v>
      </c>
      <c r="I1" s="4" t="s">
        <v>21</v>
      </c>
      <c r="J1" s="4" t="s">
        <v>22</v>
      </c>
      <c r="K1" s="4"/>
    </row>
    <row r="2" spans="1:11" x14ac:dyDescent="0.25">
      <c r="A2" s="5"/>
      <c r="B2" s="2"/>
      <c r="C2" s="2"/>
      <c r="D2" s="2"/>
      <c r="E2" s="2"/>
      <c r="F2" s="2"/>
      <c r="G2" s="3"/>
      <c r="H2" s="15" t="s">
        <v>31</v>
      </c>
      <c r="I2" s="15" t="s">
        <v>31</v>
      </c>
      <c r="J2" s="15" t="s">
        <v>31</v>
      </c>
      <c r="K2" s="6"/>
    </row>
    <row r="3" spans="1:11" x14ac:dyDescent="0.25">
      <c r="A3" s="1" t="s">
        <v>18</v>
      </c>
      <c r="B3" s="7"/>
      <c r="C3" s="7"/>
      <c r="D3" s="7"/>
      <c r="E3" s="7"/>
      <c r="F3" s="7"/>
      <c r="G3" s="8"/>
      <c r="H3" s="25">
        <v>2000000</v>
      </c>
      <c r="I3" s="25">
        <v>2500000</v>
      </c>
      <c r="J3" s="25">
        <v>3000000</v>
      </c>
      <c r="K3" s="4" t="s">
        <v>6</v>
      </c>
    </row>
    <row r="4" spans="1:11" x14ac:dyDescent="0.25">
      <c r="A4" s="1" t="s">
        <v>19</v>
      </c>
      <c r="B4" s="7"/>
      <c r="C4" s="7"/>
      <c r="D4" s="7"/>
      <c r="E4" s="7"/>
      <c r="F4" s="7"/>
      <c r="G4" s="8"/>
      <c r="H4" s="25">
        <v>3</v>
      </c>
      <c r="I4" s="25">
        <v>5</v>
      </c>
      <c r="J4" s="25">
        <v>0</v>
      </c>
      <c r="K4" s="4" t="s">
        <v>5</v>
      </c>
    </row>
    <row r="5" spans="1:11" x14ac:dyDescent="0.25">
      <c r="A5" s="1" t="s">
        <v>34</v>
      </c>
      <c r="B5" s="2"/>
      <c r="C5" s="2"/>
      <c r="D5" s="2"/>
      <c r="E5" s="2"/>
      <c r="F5" s="2"/>
      <c r="G5" s="3"/>
      <c r="H5" s="25">
        <v>200000</v>
      </c>
      <c r="I5" s="25">
        <v>150000</v>
      </c>
      <c r="J5" s="25">
        <v>100000</v>
      </c>
      <c r="K5" s="4" t="s">
        <v>32</v>
      </c>
    </row>
    <row r="6" spans="1:11" x14ac:dyDescent="0.25">
      <c r="A6" s="1" t="s">
        <v>35</v>
      </c>
      <c r="B6" s="2"/>
      <c r="C6" s="2"/>
      <c r="D6" s="2"/>
      <c r="E6" s="2"/>
      <c r="F6" s="2"/>
      <c r="G6" s="3"/>
      <c r="H6" s="25">
        <v>50000</v>
      </c>
      <c r="I6" s="25">
        <v>25000</v>
      </c>
      <c r="J6" s="25">
        <v>10000</v>
      </c>
      <c r="K6" s="4" t="s">
        <v>32</v>
      </c>
    </row>
    <row r="7" spans="1:11" x14ac:dyDescent="0.25">
      <c r="A7" s="1" t="s">
        <v>36</v>
      </c>
      <c r="B7" s="7"/>
      <c r="C7" s="7"/>
      <c r="D7" s="7"/>
      <c r="E7" s="7"/>
      <c r="F7" s="7"/>
      <c r="G7" s="8"/>
      <c r="H7" s="25">
        <v>200</v>
      </c>
      <c r="I7" s="25">
        <v>110</v>
      </c>
      <c r="J7" s="25">
        <v>120</v>
      </c>
      <c r="K7" s="4" t="s">
        <v>13</v>
      </c>
    </row>
    <row r="8" spans="1:11" x14ac:dyDescent="0.25">
      <c r="A8" s="1" t="s">
        <v>37</v>
      </c>
      <c r="B8" s="7"/>
      <c r="C8" s="7"/>
      <c r="D8" s="7"/>
      <c r="E8" s="7"/>
      <c r="F8" s="7"/>
      <c r="G8" s="8"/>
      <c r="H8" s="25">
        <v>40</v>
      </c>
      <c r="I8" s="25">
        <v>30</v>
      </c>
      <c r="J8" s="25">
        <v>20</v>
      </c>
      <c r="K8" s="4" t="s">
        <v>13</v>
      </c>
    </row>
    <row r="9" spans="1:11" x14ac:dyDescent="0.25">
      <c r="A9" s="5" t="s">
        <v>25</v>
      </c>
      <c r="B9" s="2"/>
      <c r="C9" s="2"/>
      <c r="D9" s="2"/>
      <c r="E9" s="2"/>
      <c r="F9" s="2"/>
      <c r="G9" s="3"/>
      <c r="H9" s="9">
        <f>ROUND(H3*(100-H4)/100,2)</f>
        <v>1940000</v>
      </c>
      <c r="I9" s="9">
        <f>ROUND(I3*(100-I4)/100,2)</f>
        <v>2375000</v>
      </c>
      <c r="J9" s="9">
        <f>ROUND(J3*(100-J4)/100,2)</f>
        <v>3000000</v>
      </c>
      <c r="K9" s="6" t="s">
        <v>6</v>
      </c>
    </row>
    <row r="10" spans="1:11" x14ac:dyDescent="0.25">
      <c r="A10" s="5" t="s">
        <v>16</v>
      </c>
      <c r="B10" s="2"/>
      <c r="C10" s="2"/>
      <c r="D10" s="2"/>
      <c r="E10" s="2"/>
      <c r="F10" s="2"/>
      <c r="G10" s="3"/>
      <c r="H10" s="9">
        <f>H3-ROUND(H9/1.19,2)</f>
        <v>369747.89999999991</v>
      </c>
      <c r="I10" s="9">
        <f>I3-ROUND(I9/1.19,2)</f>
        <v>504201.67999999993</v>
      </c>
      <c r="J10" s="9">
        <f>J3-ROUND(J9/1.19,2)</f>
        <v>478991.60000000009</v>
      </c>
      <c r="K10" s="6" t="s">
        <v>6</v>
      </c>
    </row>
    <row r="11" spans="1:11" x14ac:dyDescent="0.25">
      <c r="A11" s="5" t="s">
        <v>40</v>
      </c>
      <c r="B11" s="2"/>
      <c r="C11" s="2"/>
      <c r="D11" s="2"/>
      <c r="E11" s="2"/>
      <c r="F11" s="2"/>
      <c r="G11" s="3"/>
      <c r="H11" s="16">
        <f>ROUND(H9-H10,2)</f>
        <v>1570252.1</v>
      </c>
      <c r="I11" s="16">
        <f>ROUND(I9-I10,2)</f>
        <v>1870798.32</v>
      </c>
      <c r="J11" s="16">
        <f>ROUND(J9-J10,2)</f>
        <v>2521008.4</v>
      </c>
      <c r="K11" s="4" t="s">
        <v>6</v>
      </c>
    </row>
    <row r="12" spans="1:11" x14ac:dyDescent="0.25">
      <c r="A12" s="18" t="s">
        <v>33</v>
      </c>
      <c r="B12" s="19"/>
      <c r="C12" s="19"/>
      <c r="D12" s="19"/>
      <c r="E12" s="19"/>
      <c r="F12" s="19"/>
      <c r="G12" s="20"/>
      <c r="H12" s="21">
        <f>SUM(H5:H6)</f>
        <v>250000</v>
      </c>
      <c r="I12" s="21">
        <f>SUM(I5:I6)</f>
        <v>175000</v>
      </c>
      <c r="J12" s="21">
        <f>SUM(J5:J6)</f>
        <v>110000</v>
      </c>
      <c r="K12" s="22" t="s">
        <v>32</v>
      </c>
    </row>
    <row r="13" spans="1:11" x14ac:dyDescent="0.25">
      <c r="A13" s="5" t="s">
        <v>19</v>
      </c>
      <c r="B13" s="2"/>
      <c r="C13" s="2"/>
      <c r="D13" s="2"/>
      <c r="E13" s="2"/>
      <c r="F13" s="2"/>
      <c r="G13" s="3"/>
      <c r="H13" s="9">
        <f>H4</f>
        <v>3</v>
      </c>
      <c r="I13" s="9">
        <f>I4</f>
        <v>5</v>
      </c>
      <c r="J13" s="9">
        <f>J4</f>
        <v>0</v>
      </c>
      <c r="K13" s="6" t="s">
        <v>5</v>
      </c>
    </row>
    <row r="14" spans="1:11" x14ac:dyDescent="0.25">
      <c r="A14" s="1" t="s">
        <v>57</v>
      </c>
      <c r="B14" s="7"/>
      <c r="C14" s="7"/>
      <c r="D14" s="7"/>
      <c r="E14" s="7"/>
      <c r="F14" s="7"/>
      <c r="G14" s="8"/>
      <c r="H14" s="16">
        <f>ROUND(H12*(100-H13)/100,2)</f>
        <v>242500</v>
      </c>
      <c r="I14" s="16">
        <f t="shared" ref="I14:J14" si="0">ROUND(I12*(100-I13)/100,2)</f>
        <v>166250</v>
      </c>
      <c r="J14" s="16">
        <f t="shared" si="0"/>
        <v>110000</v>
      </c>
      <c r="K14" s="4" t="s">
        <v>32</v>
      </c>
    </row>
    <row r="15" spans="1:11" x14ac:dyDescent="0.25">
      <c r="A15" s="1" t="s">
        <v>41</v>
      </c>
      <c r="B15" s="7"/>
      <c r="C15" s="7"/>
      <c r="D15" s="7"/>
      <c r="E15" s="7"/>
      <c r="F15" s="7"/>
      <c r="G15" s="8"/>
      <c r="H15" s="16">
        <f>H11-H14</f>
        <v>1327752.1000000001</v>
      </c>
      <c r="I15" s="16">
        <f>I11-I14</f>
        <v>1704548.32</v>
      </c>
      <c r="J15" s="16">
        <f>J11-J14</f>
        <v>2411008.4</v>
      </c>
      <c r="K15" s="4" t="s">
        <v>6</v>
      </c>
    </row>
    <row r="16" spans="1:11" x14ac:dyDescent="0.25">
      <c r="A16" s="5" t="s">
        <v>2</v>
      </c>
      <c r="B16" s="2"/>
      <c r="C16" s="2"/>
      <c r="D16" s="2"/>
      <c r="E16" s="2"/>
      <c r="F16" s="2"/>
      <c r="G16" s="3"/>
      <c r="H16" s="6">
        <v>15</v>
      </c>
      <c r="I16" s="6">
        <f>H16</f>
        <v>15</v>
      </c>
      <c r="J16" s="6">
        <f>H16</f>
        <v>15</v>
      </c>
      <c r="K16" s="6" t="s">
        <v>4</v>
      </c>
    </row>
    <row r="17" spans="1:11" x14ac:dyDescent="0.25">
      <c r="A17" s="5" t="s">
        <v>3</v>
      </c>
      <c r="B17" s="2"/>
      <c r="C17" s="2"/>
      <c r="D17" s="2"/>
      <c r="E17" s="2"/>
      <c r="F17" s="2"/>
      <c r="G17" s="3"/>
      <c r="H17" s="6">
        <v>3</v>
      </c>
      <c r="I17" s="6">
        <f>H17</f>
        <v>3</v>
      </c>
      <c r="J17" s="6">
        <f>H17</f>
        <v>3</v>
      </c>
      <c r="K17" s="6" t="s">
        <v>5</v>
      </c>
    </row>
    <row r="18" spans="1:11" x14ac:dyDescent="0.25">
      <c r="A18" s="1" t="s">
        <v>43</v>
      </c>
      <c r="B18" s="2"/>
      <c r="C18" s="2"/>
      <c r="D18" s="2"/>
      <c r="E18" s="2"/>
      <c r="F18" s="2"/>
      <c r="G18" s="3"/>
      <c r="H18" s="6"/>
      <c r="I18" s="6"/>
      <c r="J18" s="6"/>
      <c r="K18" s="6"/>
    </row>
    <row r="19" spans="1:11" x14ac:dyDescent="0.25">
      <c r="A19" s="1" t="s">
        <v>42</v>
      </c>
      <c r="B19" s="12"/>
      <c r="C19" s="2"/>
      <c r="D19" s="12">
        <f>H15</f>
        <v>1327752.1000000001</v>
      </c>
      <c r="E19" s="2" t="s">
        <v>7</v>
      </c>
      <c r="F19" s="2">
        <f>ROUND((H17/100*(1+H17/100)^H16)/((1+H17/100)^H16-1),5)</f>
        <v>8.3769999999999997E-2</v>
      </c>
      <c r="G19" s="13" t="s">
        <v>8</v>
      </c>
      <c r="H19" s="16">
        <f>ROUND(H15*$F$19,2)</f>
        <v>111225.79</v>
      </c>
      <c r="I19" s="16">
        <f t="shared" ref="I19:J19" si="1">ROUND(I15*$F$19,2)</f>
        <v>142790.01</v>
      </c>
      <c r="J19" s="16">
        <f t="shared" si="1"/>
        <v>201970.17</v>
      </c>
      <c r="K19" s="4" t="s">
        <v>1</v>
      </c>
    </row>
    <row r="20" spans="1:11" x14ac:dyDescent="0.25">
      <c r="A20" s="5"/>
      <c r="B20" s="2"/>
      <c r="C20" s="2"/>
      <c r="D20" s="2"/>
      <c r="E20" s="2"/>
      <c r="F20" s="2"/>
      <c r="G20" s="3"/>
      <c r="H20" s="10"/>
      <c r="I20" s="10"/>
      <c r="J20" s="10"/>
      <c r="K20" s="10"/>
    </row>
    <row r="21" spans="1:11" x14ac:dyDescent="0.25">
      <c r="A21" s="1" t="s">
        <v>44</v>
      </c>
      <c r="B21" s="2"/>
      <c r="C21" s="2"/>
      <c r="D21" s="2"/>
      <c r="E21" s="2"/>
      <c r="F21" s="2"/>
      <c r="G21" s="3"/>
      <c r="H21" s="9"/>
      <c r="I21" s="9"/>
      <c r="J21" s="9"/>
      <c r="K21" s="6"/>
    </row>
    <row r="22" spans="1:11" x14ac:dyDescent="0.25">
      <c r="A22" s="5" t="s">
        <v>45</v>
      </c>
      <c r="B22" s="2"/>
      <c r="C22" s="2"/>
      <c r="D22" s="2"/>
      <c r="E22" s="2"/>
      <c r="F22" s="2"/>
      <c r="G22" s="3"/>
      <c r="H22" s="9">
        <f>ROUND(H14/4,2)</f>
        <v>60625</v>
      </c>
      <c r="I22" s="9">
        <f>ROUND(I14/4,2)</f>
        <v>41562.5</v>
      </c>
      <c r="J22" s="9">
        <f>ROUND(J14/4,2)</f>
        <v>27500</v>
      </c>
      <c r="K22" s="6" t="s">
        <v>1</v>
      </c>
    </row>
    <row r="23" spans="1:11" x14ac:dyDescent="0.25">
      <c r="A23" s="18" t="s">
        <v>38</v>
      </c>
      <c r="B23" s="19"/>
      <c r="C23" s="19"/>
      <c r="D23" s="19"/>
      <c r="E23" s="19"/>
      <c r="F23" s="19"/>
      <c r="G23" s="20"/>
      <c r="H23" s="21">
        <f>H7+H8</f>
        <v>240</v>
      </c>
      <c r="I23" s="21">
        <f>I7+I8</f>
        <v>140</v>
      </c>
      <c r="J23" s="21">
        <f>J7+J8</f>
        <v>140</v>
      </c>
      <c r="K23" s="22" t="s">
        <v>13</v>
      </c>
    </row>
    <row r="24" spans="1:11" x14ac:dyDescent="0.25">
      <c r="A24" s="5" t="s">
        <v>14</v>
      </c>
      <c r="B24" s="2"/>
      <c r="C24" s="2"/>
      <c r="D24" s="2"/>
      <c r="E24" s="2"/>
      <c r="F24" s="2"/>
      <c r="G24" s="3"/>
      <c r="H24" s="9">
        <f>8670/2+8670/4</f>
        <v>6502.5</v>
      </c>
      <c r="I24" s="9">
        <f t="shared" ref="I24:J24" si="2">8670/2+8670/4</f>
        <v>6502.5</v>
      </c>
      <c r="J24" s="9">
        <f t="shared" si="2"/>
        <v>6502.5</v>
      </c>
      <c r="K24" s="6" t="s">
        <v>15</v>
      </c>
    </row>
    <row r="25" spans="1:11" x14ac:dyDescent="0.25">
      <c r="A25" s="5" t="s">
        <v>39</v>
      </c>
      <c r="B25" s="2"/>
      <c r="C25" s="2"/>
      <c r="D25" s="2"/>
      <c r="E25" s="2"/>
      <c r="F25" s="2"/>
      <c r="G25" s="3"/>
      <c r="H25" s="9">
        <v>0.17</v>
      </c>
      <c r="I25" s="9">
        <v>0.17</v>
      </c>
      <c r="J25" s="9">
        <v>0.17</v>
      </c>
      <c r="K25" s="6" t="s">
        <v>0</v>
      </c>
    </row>
    <row r="26" spans="1:11" x14ac:dyDescent="0.25">
      <c r="A26" s="5" t="s">
        <v>28</v>
      </c>
      <c r="B26" s="2"/>
      <c r="C26" s="2"/>
      <c r="D26" s="2"/>
      <c r="E26" s="2"/>
      <c r="F26" s="2"/>
      <c r="G26" s="3"/>
      <c r="H26" s="9">
        <f>H23*H24*H25</f>
        <v>265302</v>
      </c>
      <c r="I26" s="9">
        <f>I23*I24*I25</f>
        <v>154759.5</v>
      </c>
      <c r="J26" s="9">
        <f>J23*J24*J25</f>
        <v>154759.5</v>
      </c>
      <c r="K26" s="6" t="s">
        <v>1</v>
      </c>
    </row>
    <row r="27" spans="1:11" x14ac:dyDescent="0.25">
      <c r="A27" s="5" t="s">
        <v>2</v>
      </c>
      <c r="B27" s="2"/>
      <c r="C27" s="2"/>
      <c r="D27" s="2"/>
      <c r="E27" s="2"/>
      <c r="F27" s="2"/>
      <c r="G27" s="3"/>
      <c r="H27" s="6">
        <v>15</v>
      </c>
      <c r="I27" s="6">
        <v>15</v>
      </c>
      <c r="J27" s="6">
        <v>15</v>
      </c>
      <c r="K27" s="6" t="s">
        <v>4</v>
      </c>
    </row>
    <row r="28" spans="1:11" x14ac:dyDescent="0.25">
      <c r="A28" s="5" t="s">
        <v>3</v>
      </c>
      <c r="B28" s="2"/>
      <c r="C28" s="2"/>
      <c r="D28" s="2"/>
      <c r="E28" s="2"/>
      <c r="F28" s="2"/>
      <c r="G28" s="3"/>
      <c r="H28" s="6">
        <v>3</v>
      </c>
      <c r="I28" s="6">
        <v>3</v>
      </c>
      <c r="J28" s="6">
        <v>3</v>
      </c>
      <c r="K28" s="6" t="s">
        <v>5</v>
      </c>
    </row>
    <row r="29" spans="1:11" x14ac:dyDescent="0.25">
      <c r="A29" s="5" t="s">
        <v>9</v>
      </c>
      <c r="B29" s="2"/>
      <c r="C29" s="2"/>
      <c r="D29" s="2"/>
      <c r="E29" s="2"/>
      <c r="F29" s="2"/>
      <c r="G29" s="3"/>
      <c r="H29" s="6">
        <v>1</v>
      </c>
      <c r="I29" s="6">
        <v>1</v>
      </c>
      <c r="J29" s="6">
        <v>1</v>
      </c>
      <c r="K29" s="6" t="s">
        <v>5</v>
      </c>
    </row>
    <row r="30" spans="1:11" x14ac:dyDescent="0.25">
      <c r="A30" s="5" t="s">
        <v>10</v>
      </c>
      <c r="B30" s="2"/>
      <c r="C30" s="2"/>
      <c r="D30" s="2"/>
      <c r="E30" s="2"/>
      <c r="F30" s="2"/>
      <c r="G30" s="3"/>
      <c r="H30" s="6">
        <v>2.5</v>
      </c>
      <c r="I30" s="6">
        <v>2.5</v>
      </c>
      <c r="J30" s="6">
        <v>2.5</v>
      </c>
      <c r="K30" s="6" t="s">
        <v>5</v>
      </c>
    </row>
    <row r="31" spans="1:11" x14ac:dyDescent="0.25">
      <c r="A31" s="5" t="s">
        <v>46</v>
      </c>
      <c r="B31" s="2"/>
      <c r="C31" s="2"/>
      <c r="D31" s="2"/>
      <c r="E31" s="2"/>
      <c r="F31" s="2"/>
      <c r="G31" s="3"/>
      <c r="H31" s="6"/>
      <c r="I31" s="6"/>
      <c r="J31" s="6"/>
      <c r="K31" s="6"/>
    </row>
    <row r="32" spans="1:11" x14ac:dyDescent="0.25">
      <c r="A32" s="1" t="s">
        <v>47</v>
      </c>
      <c r="B32" s="12">
        <f>H22</f>
        <v>60625</v>
      </c>
      <c r="C32" s="2" t="s">
        <v>7</v>
      </c>
      <c r="D32" s="2">
        <f>ROUND((1+H29/100)*((1+H28/100)^H27-(1+H29/100)^H27)/((1+H28/100)^H27*(H28/100-H29/100)),5)</f>
        <v>12.868320000000001</v>
      </c>
      <c r="E32" s="2" t="s">
        <v>7</v>
      </c>
      <c r="F32" s="2">
        <f>ROUND((H28/100*(1+H28/100)^H27)/((1+H28/100)^H27-1),5)</f>
        <v>8.3769999999999997E-2</v>
      </c>
      <c r="G32" s="13" t="s">
        <v>8</v>
      </c>
      <c r="H32" s="16">
        <f>ROUND(H22*D32*F32,2)</f>
        <v>65352.49</v>
      </c>
      <c r="I32" s="16">
        <f>ROUND(I22*D32*F32,2)</f>
        <v>44803.51</v>
      </c>
      <c r="J32" s="16">
        <f>ROUND(J22*D32*F32,2)</f>
        <v>29644.43</v>
      </c>
      <c r="K32" s="4" t="s">
        <v>1</v>
      </c>
    </row>
    <row r="33" spans="1:11" x14ac:dyDescent="0.25">
      <c r="A33" s="1" t="s">
        <v>48</v>
      </c>
      <c r="B33" s="12">
        <f>H26</f>
        <v>265302</v>
      </c>
      <c r="C33" s="2" t="s">
        <v>7</v>
      </c>
      <c r="D33" s="2">
        <f>ROUND((1+H30/100)*((1+H28/100)^H27-(1+H30/100)^H27)/((1+H28/100)^H27*(H28/100-H30/100)),5)</f>
        <v>14.43047</v>
      </c>
      <c r="E33" s="2" t="s">
        <v>7</v>
      </c>
      <c r="F33" s="2">
        <f>ROUND((H28/100*(1+H28/100)^H27)/((1+H28/100)^H27-1),5)</f>
        <v>8.3769999999999997E-2</v>
      </c>
      <c r="G33" s="13" t="s">
        <v>8</v>
      </c>
      <c r="H33" s="16">
        <f>ROUND(H26*D33*F33,2)</f>
        <v>320707.78999999998</v>
      </c>
      <c r="I33" s="16">
        <f>ROUND(I26*D33*F33,2)</f>
        <v>187079.55</v>
      </c>
      <c r="J33" s="16">
        <f>ROUND(J26*D33*F33,2)</f>
        <v>187079.55</v>
      </c>
      <c r="K33" s="4" t="s">
        <v>1</v>
      </c>
    </row>
    <row r="34" spans="1:11" x14ac:dyDescent="0.25">
      <c r="A34" s="1" t="s">
        <v>49</v>
      </c>
      <c r="B34" s="7"/>
      <c r="C34" s="7"/>
      <c r="D34" s="7"/>
      <c r="E34" s="7"/>
      <c r="F34" s="7"/>
      <c r="G34" s="17" t="s">
        <v>8</v>
      </c>
      <c r="H34" s="16">
        <f>H19+SUM(H32:H33)</f>
        <v>497286.06999999995</v>
      </c>
      <c r="I34" s="16">
        <f t="shared" ref="I34:J34" si="3">I19+SUM(I32:I33)</f>
        <v>374673.07</v>
      </c>
      <c r="J34" s="16">
        <f t="shared" si="3"/>
        <v>418694.15</v>
      </c>
      <c r="K34" s="4" t="s">
        <v>1</v>
      </c>
    </row>
    <row r="35" spans="1:11" x14ac:dyDescent="0.25">
      <c r="A35" s="5"/>
      <c r="B35" s="2"/>
      <c r="C35" s="2"/>
      <c r="D35" s="2"/>
      <c r="E35" s="2"/>
      <c r="F35" s="2"/>
      <c r="G35" s="3"/>
      <c r="H35" s="10"/>
      <c r="I35" s="10"/>
      <c r="J35" s="10"/>
      <c r="K35" s="10"/>
    </row>
    <row r="36" spans="1:11" x14ac:dyDescent="0.25">
      <c r="A36" s="1" t="s">
        <v>50</v>
      </c>
      <c r="B36" s="7"/>
      <c r="C36" s="7"/>
      <c r="D36" s="7"/>
      <c r="E36" s="7"/>
      <c r="F36" s="7"/>
      <c r="G36" s="8"/>
      <c r="H36" s="11">
        <f>RANK(H34,H34:J34,1)</f>
        <v>3</v>
      </c>
      <c r="I36" s="11">
        <f>RANK(I34,H34:J34,1)</f>
        <v>1</v>
      </c>
      <c r="J36" s="11">
        <f>RANK(J34,H34:J34,1)</f>
        <v>2</v>
      </c>
      <c r="K36" s="11" t="s">
        <v>12</v>
      </c>
    </row>
    <row r="38" spans="1:11" x14ac:dyDescent="0.25">
      <c r="A38" s="24" t="s">
        <v>65</v>
      </c>
    </row>
  </sheetData>
  <printOptions verticalCentered="1"/>
  <pageMargins left="0.9055118110236221" right="0.70866141732283472" top="0.98425196850393704" bottom="0.78740157480314965" header="0.9055118110236221" footer="0.31496062992125984"/>
  <pageSetup paperSize="8" orientation="landscape" horizontalDpi="1200" verticalDpi="1200" r:id="rId1"/>
  <headerFooter>
    <oddHeader>&amp;LWEB - Kläranlage Wolfsburg-Stahlberg&amp;CWertung Wirtschaftlichkeit Los 2: TA VPT+EMSR Abluft BA 1&amp;RAbluftbehandlung 
&amp;P/&amp;N</oddHeader>
    <oddFooter>&amp;C- Wolfsburger Entwässerungsbetriebe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Erläuterung</vt:lpstr>
      <vt:lpstr>Wertungsmatrix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Jens</cp:lastModifiedBy>
  <cp:lastPrinted>2026-07-17T05:00:14Z</cp:lastPrinted>
  <dcterms:created xsi:type="dcterms:W3CDTF">2018-07-17T09:14:19Z</dcterms:created>
  <dcterms:modified xsi:type="dcterms:W3CDTF">2026-07-17T05:13:19Z</dcterms:modified>
</cp:coreProperties>
</file>