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uefst\Prüffeldertüchtigung_WM-BW\02_Ausschreibung_Vergabe\2026_Q3_Gaswarnanlage\1 Aufforderung zur Angebotsabgabe\"/>
    </mc:Choice>
  </mc:AlternateContent>
  <xr:revisionPtr revIDLastSave="0" documentId="13_ncr:1_{499E2D27-FAC1-4773-B88F-DC69B0A8106A}" xr6:coauthVersionLast="47" xr6:coauthVersionMax="47" xr10:uidLastSave="{00000000-0000-0000-0000-000000000000}"/>
  <bookViews>
    <workbookView xWindow="28680" yWindow="2250" windowWidth="29040" windowHeight="16440" xr2:uid="{00000000-000D-0000-FFFF-FFFF00000000}"/>
  </bookViews>
  <sheets>
    <sheet name="Auswertu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2" l="1"/>
  <c r="F14" i="2"/>
  <c r="L13" i="2"/>
  <c r="L23" i="2"/>
  <c r="M23" i="2" s="1"/>
  <c r="I24" i="2"/>
  <c r="E8" i="2"/>
  <c r="E4" i="2"/>
  <c r="I14" i="2" l="1"/>
  <c r="F24" i="2"/>
  <c r="N23" i="2"/>
  <c r="G24" i="2"/>
  <c r="H24" i="2"/>
  <c r="E7" i="2" l="1"/>
  <c r="I32" i="2"/>
  <c r="H32" i="2"/>
  <c r="G32" i="2"/>
  <c r="F32" i="2"/>
  <c r="F30" i="2"/>
  <c r="I30" i="2"/>
  <c r="H30" i="2"/>
  <c r="G30" i="2"/>
  <c r="I28" i="2"/>
  <c r="H28" i="2"/>
  <c r="G28" i="2"/>
  <c r="F28" i="2"/>
  <c r="G26" i="2"/>
  <c r="H26" i="2"/>
  <c r="I26" i="2"/>
  <c r="F26" i="2"/>
  <c r="F22" i="2" l="1"/>
  <c r="G22" i="2"/>
  <c r="H22" i="2"/>
  <c r="I22" i="2"/>
  <c r="D22" i="2"/>
  <c r="G20" i="2"/>
  <c r="H20" i="2"/>
  <c r="I20" i="2"/>
  <c r="F20" i="2"/>
  <c r="D20" i="2"/>
  <c r="D18" i="2"/>
  <c r="I18" i="2"/>
  <c r="H18" i="2"/>
  <c r="H33" i="2" s="1"/>
  <c r="G18" i="2"/>
  <c r="G33" i="2" s="1"/>
  <c r="F18" i="2"/>
  <c r="I33" i="2" l="1"/>
  <c r="I7" i="2" s="1"/>
  <c r="F33" i="2"/>
  <c r="F7" i="2" s="1"/>
  <c r="G7" i="2"/>
  <c r="D33" i="2"/>
  <c r="C15" i="2"/>
  <c r="C13" i="2"/>
  <c r="L15" i="2"/>
  <c r="C17" i="2" l="1"/>
  <c r="D34" i="2"/>
  <c r="H7" i="2"/>
  <c r="M15" i="2"/>
  <c r="N15" i="2" s="1"/>
  <c r="F16" i="2" l="1"/>
  <c r="F6" i="2" s="1"/>
  <c r="I16" i="2"/>
  <c r="I6" i="2" s="1"/>
  <c r="H16" i="2"/>
  <c r="H6" i="2" s="1"/>
  <c r="G16" i="2"/>
  <c r="G6" i="2" s="1"/>
  <c r="G4" i="2"/>
  <c r="H4" i="2"/>
  <c r="I4" i="2"/>
  <c r="F4" i="2"/>
  <c r="M13" i="2" l="1"/>
  <c r="N13" i="2" l="1"/>
  <c r="G14" i="2" s="1"/>
  <c r="F5" i="2" l="1"/>
  <c r="F8" i="2" s="1"/>
  <c r="F34" i="2"/>
  <c r="I5" i="2" l="1"/>
  <c r="I8" i="2" s="1"/>
  <c r="I34" i="2"/>
  <c r="H5" i="2"/>
  <c r="H8" i="2" s="1"/>
  <c r="H34" i="2"/>
  <c r="G5" i="2"/>
  <c r="G8" i="2" s="1"/>
  <c r="G34" i="2"/>
</calcChain>
</file>

<file path=xl/sharedStrings.xml><?xml version="1.0" encoding="utf-8"?>
<sst xmlns="http://schemas.openxmlformats.org/spreadsheetml/2006/main" count="97" uniqueCount="59">
  <si>
    <t>Bieter 1</t>
  </si>
  <si>
    <t>Bieter 2</t>
  </si>
  <si>
    <t>Bieter 3</t>
  </si>
  <si>
    <t>Bieter 4</t>
  </si>
  <si>
    <t>Anschaffungskosten</t>
  </si>
  <si>
    <t>Hauptkriterium</t>
  </si>
  <si>
    <t>Wertung</t>
  </si>
  <si>
    <t>Hilfsgrößen</t>
  </si>
  <si>
    <t>Min</t>
  </si>
  <si>
    <t>Min*1,5</t>
  </si>
  <si>
    <t>Abschlag</t>
  </si>
  <si>
    <t>Name 1</t>
  </si>
  <si>
    <t>Name 4</t>
  </si>
  <si>
    <t>Stand:</t>
  </si>
  <si>
    <t>Max. Punkte</t>
  </si>
  <si>
    <t>Firma xyz</t>
  </si>
  <si>
    <t>Muster  GmbH</t>
  </si>
  <si>
    <t>Wartungskosten</t>
  </si>
  <si>
    <t>für 5 Jahre</t>
  </si>
  <si>
    <t>Bewertungsmatrix Vergabe Gaswarnanlagen (Ausschreibung: TZS.2026.07)</t>
  </si>
  <si>
    <t>acht Gaswarnanlagen</t>
  </si>
  <si>
    <t>Eingabefelder</t>
  </si>
  <si>
    <t>Auswahlfelder</t>
  </si>
  <si>
    <t>Legende:</t>
  </si>
  <si>
    <t>Technische Qualität und Ausstattung</t>
  </si>
  <si>
    <t>Teilwertung</t>
  </si>
  <si>
    <t>Lebensdauer Sensorköpfe</t>
  </si>
  <si>
    <t>Ortungsgenauigkeit</t>
  </si>
  <si>
    <t>sensorgenau</t>
  </si>
  <si>
    <t>gruppen-/berechsweise</t>
  </si>
  <si>
    <t>keine Ortung</t>
  </si>
  <si>
    <t>Sehr hoch</t>
  </si>
  <si>
    <t>Gut</t>
  </si>
  <si>
    <t>Gering</t>
  </si>
  <si>
    <t>Kosten Fernkalibrieradapter
(nicht verfügbar = 0,- €)</t>
  </si>
  <si>
    <t>verfügbar</t>
  </si>
  <si>
    <t>Preis</t>
  </si>
  <si>
    <t>Umfassend</t>
  </si>
  <si>
    <t>Standard</t>
  </si>
  <si>
    <t>nicht vorhanden</t>
  </si>
  <si>
    <t>LED-Anzeige</t>
  </si>
  <si>
    <t>Live-Messwertanzeige über Display</t>
  </si>
  <si>
    <t>Statusanzeige je Sensor</t>
  </si>
  <si>
    <t>Erweiterbarkeit / Sensorkanal-Reserve</t>
  </si>
  <si>
    <t>Konzept 1: 1</t>
  </si>
  <si>
    <t>Konzept 1: 0</t>
  </si>
  <si>
    <t>Konzept 2</t>
  </si>
  <si>
    <t>Konzept 1: ≥2</t>
  </si>
  <si>
    <t>Selbsthaltung der Alarme</t>
  </si>
  <si>
    <t>Ja</t>
  </si>
  <si>
    <t>Nein</t>
  </si>
  <si>
    <t>Gesamtwertung</t>
  </si>
  <si>
    <t>Ergebnis</t>
  </si>
  <si>
    <t>Erfüllungsgrad des Schulungs- und Eigenkalibrierkonzepts</t>
  </si>
  <si>
    <t>Erfüllungsgrad der Servicepartner-Verfügbarkeit und Reaktionszeit im Störungsfall</t>
  </si>
  <si>
    <t>&gt; 4</t>
  </si>
  <si>
    <t>&gt; 3 ≤ 4</t>
  </si>
  <si>
    <t>&gt; 2 ≤ 3</t>
  </si>
  <si>
    <t>&gt; 1,5 ≤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</si>
</sst>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color rgb="FF49494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/>
      <top/>
      <bottom style="double">
        <color theme="1" tint="0.499984740745262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tted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dotted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44" fontId="2" fillId="0" borderId="4" xfId="1" applyFont="1" applyBorder="1" applyProtection="1"/>
    <xf numFmtId="44" fontId="2" fillId="0" borderId="5" xfId="1" applyFont="1" applyBorder="1" applyProtection="1"/>
    <xf numFmtId="0" fontId="2" fillId="0" borderId="6" xfId="0" applyFont="1" applyBorder="1"/>
    <xf numFmtId="0" fontId="5" fillId="0" borderId="20" xfId="0" applyFont="1" applyBorder="1"/>
    <xf numFmtId="0" fontId="6" fillId="0" borderId="0" xfId="0" applyFont="1"/>
    <xf numFmtId="44" fontId="2" fillId="0" borderId="21" xfId="1" applyFont="1" applyBorder="1" applyProtection="1"/>
    <xf numFmtId="44" fontId="2" fillId="0" borderId="22" xfId="1" applyFont="1" applyBorder="1" applyProtection="1"/>
    <xf numFmtId="0" fontId="2" fillId="0" borderId="23" xfId="0" applyFont="1" applyBorder="1"/>
    <xf numFmtId="0" fontId="2" fillId="0" borderId="0" xfId="0" applyFont="1" applyAlignment="1">
      <alignment vertical="center" wrapText="1"/>
    </xf>
    <xf numFmtId="14" fontId="7" fillId="2" borderId="0" xfId="2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quotePrefix="1" applyFont="1" applyBorder="1" applyAlignment="1">
      <alignment vertical="center"/>
    </xf>
    <xf numFmtId="44" fontId="2" fillId="0" borderId="25" xfId="0" applyNumberFormat="1" applyFont="1" applyBorder="1"/>
    <xf numFmtId="0" fontId="2" fillId="0" borderId="17" xfId="0" applyFont="1" applyBorder="1" applyAlignment="1">
      <alignment horizontal="right"/>
    </xf>
    <xf numFmtId="0" fontId="2" fillId="0" borderId="17" xfId="0" applyFont="1" applyBorder="1"/>
    <xf numFmtId="0" fontId="2" fillId="0" borderId="24" xfId="0" applyFont="1" applyBorder="1" applyAlignment="1">
      <alignment horizontal="right"/>
    </xf>
    <xf numFmtId="0" fontId="2" fillId="0" borderId="28" xfId="0" applyFont="1" applyBorder="1"/>
    <xf numFmtId="0" fontId="2" fillId="0" borderId="29" xfId="0" applyFont="1" applyBorder="1"/>
    <xf numFmtId="0" fontId="5" fillId="0" borderId="27" xfId="0" applyFont="1" applyBorder="1"/>
    <xf numFmtId="0" fontId="8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26" xfId="0" applyFont="1" applyBorder="1"/>
    <xf numFmtId="0" fontId="2" fillId="0" borderId="24" xfId="0" applyFont="1" applyBorder="1"/>
    <xf numFmtId="14" fontId="7" fillId="3" borderId="0" xfId="2" applyNumberFormat="1" applyFont="1" applyFill="1" applyAlignment="1">
      <alignment horizontal="center" vertical="center"/>
    </xf>
    <xf numFmtId="0" fontId="5" fillId="0" borderId="12" xfId="0" applyFont="1" applyBorder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4" borderId="0" xfId="0" applyFont="1" applyFill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5" fillId="4" borderId="33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2" fillId="4" borderId="0" xfId="0" applyFont="1" applyFill="1" applyAlignment="1">
      <alignment horizontal="left" vertical="center"/>
    </xf>
    <xf numFmtId="0" fontId="2" fillId="4" borderId="32" xfId="0" applyFont="1" applyFill="1" applyBorder="1" applyAlignment="1">
      <alignment horizontal="right" indent="4"/>
    </xf>
    <xf numFmtId="0" fontId="2" fillId="4" borderId="34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right" indent="4"/>
    </xf>
    <xf numFmtId="0" fontId="5" fillId="4" borderId="0" xfId="0" applyFont="1" applyFill="1" applyAlignment="1">
      <alignment horizontal="left" vertical="center"/>
    </xf>
    <xf numFmtId="0" fontId="5" fillId="4" borderId="32" xfId="0" applyFont="1" applyFill="1" applyBorder="1" applyAlignment="1">
      <alignment horizontal="right" indent="4"/>
    </xf>
    <xf numFmtId="14" fontId="7" fillId="4" borderId="0" xfId="2" applyNumberFormat="1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36" xfId="0" applyFont="1" applyBorder="1"/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5" fillId="0" borderId="30" xfId="0" applyFont="1" applyBorder="1"/>
    <xf numFmtId="0" fontId="5" fillId="0" borderId="37" xfId="0" applyFont="1" applyBorder="1" applyAlignment="1">
      <alignment horizontal="center"/>
    </xf>
    <xf numFmtId="0" fontId="2" fillId="3" borderId="38" xfId="0" applyFont="1" applyFill="1" applyBorder="1" applyAlignment="1" applyProtection="1">
      <alignment horizontal="center" vertical="center"/>
      <protection locked="0"/>
    </xf>
    <xf numFmtId="44" fontId="2" fillId="3" borderId="39" xfId="1" applyFont="1" applyFill="1" applyBorder="1" applyAlignment="1" applyProtection="1">
      <alignment vertical="center"/>
      <protection locked="0"/>
    </xf>
    <xf numFmtId="0" fontId="5" fillId="0" borderId="40" xfId="0" applyFont="1" applyBorder="1"/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0" borderId="40" xfId="0" applyFont="1" applyBorder="1"/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5" fillId="4" borderId="41" xfId="0" applyFont="1" applyFill="1" applyBorder="1"/>
    <xf numFmtId="0" fontId="8" fillId="0" borderId="17" xfId="0" quotePrefix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3">
    <cellStyle name="Standard" xfId="0" builtinId="0"/>
    <cellStyle name="Standard 2" xfId="2" xr:uid="{ADD71528-FA6C-4C82-A4AC-D7175788E944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71"/>
  <sheetViews>
    <sheetView showGridLines="0" tabSelected="1" zoomScaleNormal="100" workbookViewId="0">
      <pane ySplit="12" topLeftCell="A13" activePane="bottomLeft" state="frozen"/>
      <selection pane="bottomLeft" activeCell="F12" sqref="F12"/>
    </sheetView>
  </sheetViews>
  <sheetFormatPr baseColWidth="10" defaultColWidth="11.44140625" defaultRowHeight="13.8" x14ac:dyDescent="0.25"/>
  <cols>
    <col min="1" max="1" width="2.33203125" style="1" customWidth="1"/>
    <col min="2" max="2" width="21.33203125" style="1" customWidth="1"/>
    <col min="3" max="3" width="7.5546875" style="1" customWidth="1"/>
    <col min="4" max="4" width="7.5546875" style="2" customWidth="1"/>
    <col min="5" max="5" width="46.44140625" style="3" customWidth="1"/>
    <col min="6" max="9" width="24.88671875" style="1" customWidth="1"/>
    <col min="10" max="11" width="11.44140625" style="1"/>
    <col min="12" max="12" width="18.88671875" style="1" hidden="1" customWidth="1"/>
    <col min="13" max="13" width="12.88671875" style="1" hidden="1" customWidth="1"/>
    <col min="14" max="14" width="13.88671875" style="1" hidden="1" customWidth="1"/>
    <col min="15" max="15" width="8.33203125" style="1" hidden="1" customWidth="1"/>
    <col min="16" max="16" width="9.44140625" style="1" hidden="1" customWidth="1"/>
    <col min="17" max="17" width="16" style="1" customWidth="1"/>
    <col min="18" max="20" width="11.44140625" style="1" customWidth="1"/>
    <col min="21" max="16384" width="11.44140625" style="1"/>
  </cols>
  <sheetData>
    <row r="1" spans="2:19" ht="11.25" customHeight="1" thickBot="1" x14ac:dyDescent="0.3"/>
    <row r="2" spans="2:19" ht="30" customHeight="1" thickBot="1" x14ac:dyDescent="0.3">
      <c r="B2" s="66" t="s">
        <v>19</v>
      </c>
      <c r="C2" s="67"/>
      <c r="D2" s="67"/>
      <c r="E2" s="67"/>
      <c r="F2" s="67"/>
      <c r="G2" s="67"/>
      <c r="H2" s="67"/>
      <c r="I2" s="68"/>
      <c r="L2" s="4" t="s">
        <v>7</v>
      </c>
    </row>
    <row r="3" spans="2:19" ht="7.5" customHeight="1" x14ac:dyDescent="0.25">
      <c r="B3" s="19"/>
      <c r="C3" s="19"/>
      <c r="D3" s="19"/>
      <c r="E3" s="19"/>
      <c r="F3" s="19"/>
      <c r="G3" s="19"/>
      <c r="H3" s="19"/>
      <c r="I3" s="19"/>
      <c r="L3" s="4"/>
    </row>
    <row r="4" spans="2:19" ht="15" customHeight="1" x14ac:dyDescent="0.25">
      <c r="B4" s="50" t="s">
        <v>13</v>
      </c>
      <c r="C4" s="82"/>
      <c r="D4" s="83"/>
      <c r="E4" s="41" t="str">
        <f>B11</f>
        <v>Hauptkriterium</v>
      </c>
      <c r="F4" s="42" t="str">
        <f>F12</f>
        <v>Name 1</v>
      </c>
      <c r="G4" s="42" t="str">
        <f>G12</f>
        <v>Firma xyz</v>
      </c>
      <c r="H4" s="42" t="str">
        <f>H12</f>
        <v>Muster  GmbH</v>
      </c>
      <c r="I4" s="42" t="str">
        <f>I12</f>
        <v>Name 4</v>
      </c>
    </row>
    <row r="5" spans="2:19" ht="15" customHeight="1" x14ac:dyDescent="0.25">
      <c r="B5" s="37">
        <v>46318</v>
      </c>
      <c r="C5" s="37"/>
      <c r="D5" s="36"/>
      <c r="E5" s="43" t="s">
        <v>4</v>
      </c>
      <c r="F5" s="44">
        <f>F14</f>
        <v>0</v>
      </c>
      <c r="G5" s="44">
        <f>G14</f>
        <v>45</v>
      </c>
      <c r="H5" s="44">
        <f>H14</f>
        <v>0</v>
      </c>
      <c r="I5" s="44">
        <f>I14</f>
        <v>50</v>
      </c>
    </row>
    <row r="6" spans="2:19" ht="15" customHeight="1" x14ac:dyDescent="0.25">
      <c r="B6" s="50" t="s">
        <v>23</v>
      </c>
      <c r="C6" s="3"/>
      <c r="D6" s="3"/>
      <c r="E6" s="43" t="s">
        <v>17</v>
      </c>
      <c r="F6" s="44">
        <f>F16</f>
        <v>4</v>
      </c>
      <c r="G6" s="44">
        <f>G16</f>
        <v>12</v>
      </c>
      <c r="H6" s="44">
        <f>H16</f>
        <v>0</v>
      </c>
      <c r="I6" s="44">
        <f>I16</f>
        <v>20</v>
      </c>
    </row>
    <row r="7" spans="2:19" ht="15" customHeight="1" thickBot="1" x14ac:dyDescent="0.3">
      <c r="B7" s="34" t="s">
        <v>21</v>
      </c>
      <c r="C7" s="3"/>
      <c r="D7" s="3"/>
      <c r="E7" s="45" t="str">
        <f>B17</f>
        <v>Technische Qualität und Ausstattung</v>
      </c>
      <c r="F7" s="46">
        <f>F33</f>
        <v>18.5</v>
      </c>
      <c r="G7" s="46">
        <f>G33</f>
        <v>17</v>
      </c>
      <c r="H7" s="46">
        <f>H33</f>
        <v>14</v>
      </c>
      <c r="I7" s="46">
        <f>I33</f>
        <v>12</v>
      </c>
    </row>
    <row r="8" spans="2:19" ht="15" customHeight="1" thickTop="1" x14ac:dyDescent="0.25">
      <c r="B8" s="18" t="s">
        <v>22</v>
      </c>
      <c r="C8" s="3"/>
      <c r="D8" s="3"/>
      <c r="E8" s="47" t="str">
        <f>E34</f>
        <v>Gesamtwertung</v>
      </c>
      <c r="F8" s="48">
        <f>SUM(F5:F7)</f>
        <v>22.5</v>
      </c>
      <c r="G8" s="48">
        <f t="shared" ref="G8:I8" si="0">SUM(G5:G7)</f>
        <v>74</v>
      </c>
      <c r="H8" s="48">
        <f t="shared" si="0"/>
        <v>14</v>
      </c>
      <c r="I8" s="48">
        <f t="shared" si="0"/>
        <v>82</v>
      </c>
    </row>
    <row r="9" spans="2:19" ht="15" customHeight="1" x14ac:dyDescent="0.25">
      <c r="B9" s="49" t="s">
        <v>52</v>
      </c>
      <c r="C9" s="3"/>
      <c r="D9" s="3"/>
      <c r="F9" s="3"/>
      <c r="G9" s="3"/>
      <c r="H9" s="39"/>
      <c r="I9" s="40"/>
    </row>
    <row r="10" spans="2:19" ht="7.5" customHeight="1" x14ac:dyDescent="0.25"/>
    <row r="11" spans="2:19" ht="14.4" customHeight="1" thickBot="1" x14ac:dyDescent="0.3">
      <c r="B11" s="75" t="s">
        <v>5</v>
      </c>
      <c r="C11" s="71" t="s">
        <v>14</v>
      </c>
      <c r="D11" s="72"/>
      <c r="E11" s="69"/>
      <c r="F11" s="55" t="s">
        <v>0</v>
      </c>
      <c r="G11" s="55" t="s">
        <v>1</v>
      </c>
      <c r="H11" s="55" t="s">
        <v>2</v>
      </c>
      <c r="I11" s="55" t="s">
        <v>3</v>
      </c>
    </row>
    <row r="12" spans="2:19" ht="30" customHeight="1" x14ac:dyDescent="0.25">
      <c r="B12" s="76"/>
      <c r="C12" s="73"/>
      <c r="D12" s="74"/>
      <c r="E12" s="70"/>
      <c r="F12" s="56" t="s">
        <v>11</v>
      </c>
      <c r="G12" s="56" t="s">
        <v>15</v>
      </c>
      <c r="H12" s="56" t="s">
        <v>16</v>
      </c>
      <c r="I12" s="56" t="s">
        <v>12</v>
      </c>
      <c r="L12" s="6" t="s">
        <v>8</v>
      </c>
      <c r="M12" s="7" t="s">
        <v>9</v>
      </c>
      <c r="N12" s="8" t="s">
        <v>10</v>
      </c>
    </row>
    <row r="13" spans="2:19" ht="30" customHeight="1" thickBot="1" x14ac:dyDescent="0.3">
      <c r="B13" s="77" t="s">
        <v>4</v>
      </c>
      <c r="C13" s="80">
        <f>D14</f>
        <v>50</v>
      </c>
      <c r="D13" s="5"/>
      <c r="E13" s="20" t="s">
        <v>20</v>
      </c>
      <c r="F13" s="57">
        <v>0</v>
      </c>
      <c r="G13" s="57">
        <v>20000</v>
      </c>
      <c r="H13" s="57">
        <v>0</v>
      </c>
      <c r="I13" s="57">
        <v>19000</v>
      </c>
      <c r="L13" s="9">
        <f>_xlfn.MINIFS(F13:I13,F13:I13,"&gt;0")</f>
        <v>19000</v>
      </c>
      <c r="M13" s="10">
        <f>L13*1.5</f>
        <v>28500</v>
      </c>
      <c r="N13" s="11">
        <f>D14/(L13-M13)</f>
        <v>-5.263157894736842E-3</v>
      </c>
    </row>
    <row r="14" spans="2:19" ht="14.4" thickBot="1" x14ac:dyDescent="0.3">
      <c r="B14" s="78"/>
      <c r="C14" s="81"/>
      <c r="D14" s="35">
        <v>50</v>
      </c>
      <c r="E14" s="12" t="s">
        <v>6</v>
      </c>
      <c r="F14" s="58">
        <f>IF(F13=0,0,IF(F13=$L$13,$D$14,IF(F13&gt;=$M$13,0,ROUND($D$14+(F13-$L$13)*$N$13,0))))</f>
        <v>0</v>
      </c>
      <c r="G14" s="58">
        <f t="shared" ref="G14:I14" si="1">IF(G13=0,0,IF(G13=$L$13,$D$14,IF(G13&gt;=$M$13,0,ROUND($D$14+(G13-$L$13)*$N$13,0))))</f>
        <v>45</v>
      </c>
      <c r="H14" s="58">
        <f t="shared" si="1"/>
        <v>0</v>
      </c>
      <c r="I14" s="58">
        <f t="shared" si="1"/>
        <v>50</v>
      </c>
      <c r="Q14" s="13"/>
      <c r="R14" s="13"/>
      <c r="S14" s="13"/>
    </row>
    <row r="15" spans="2:19" ht="30" customHeight="1" thickBot="1" x14ac:dyDescent="0.3">
      <c r="B15" s="79" t="s">
        <v>17</v>
      </c>
      <c r="C15" s="80">
        <f>D16</f>
        <v>20</v>
      </c>
      <c r="D15" s="5"/>
      <c r="E15" s="20" t="s">
        <v>18</v>
      </c>
      <c r="F15" s="57">
        <v>1750</v>
      </c>
      <c r="G15" s="57">
        <v>1500</v>
      </c>
      <c r="H15" s="57">
        <v>2500</v>
      </c>
      <c r="I15" s="57">
        <v>1250</v>
      </c>
      <c r="L15" s="14">
        <f>MIN(F15:I15)</f>
        <v>1250</v>
      </c>
      <c r="M15" s="15">
        <f>L15*1.5</f>
        <v>1875</v>
      </c>
      <c r="N15" s="16">
        <f>D16/(L15-M15)</f>
        <v>-3.2000000000000001E-2</v>
      </c>
      <c r="Q15" s="13"/>
      <c r="R15" s="13"/>
      <c r="S15" s="13"/>
    </row>
    <row r="16" spans="2:19" ht="14.4" thickBot="1" x14ac:dyDescent="0.3">
      <c r="B16" s="79"/>
      <c r="C16" s="81"/>
      <c r="D16" s="12">
        <v>20</v>
      </c>
      <c r="E16" s="12" t="s">
        <v>6</v>
      </c>
      <c r="F16" s="58">
        <f>IF(F15=$L$15,$D$16,IF(F15&gt;=$M$15,0,ROUND($D$16+(F15-$L$15)*$N$15,0)))</f>
        <v>4</v>
      </c>
      <c r="G16" s="58">
        <f t="shared" ref="G16:I16" si="2">IF(G15=$L$15,$D$16,IF(G15&gt;=$M$15,0,ROUND($D$16+(G15-$L$15)*$N$15,0)))</f>
        <v>12</v>
      </c>
      <c r="H16" s="58">
        <f t="shared" si="2"/>
        <v>0</v>
      </c>
      <c r="I16" s="58">
        <f t="shared" si="2"/>
        <v>20</v>
      </c>
      <c r="Q16" s="13"/>
      <c r="R16" s="13"/>
      <c r="S16" s="13"/>
    </row>
    <row r="17" spans="2:16" ht="30" customHeight="1" thickBot="1" x14ac:dyDescent="0.3">
      <c r="B17" s="64" t="s">
        <v>24</v>
      </c>
      <c r="C17" s="65">
        <f>D33</f>
        <v>30</v>
      </c>
      <c r="D17" s="25"/>
      <c r="E17" s="52" t="s">
        <v>26</v>
      </c>
      <c r="F17" s="59" t="s">
        <v>58</v>
      </c>
      <c r="G17" s="59" t="s">
        <v>57</v>
      </c>
      <c r="H17" s="59">
        <v>1.5</v>
      </c>
      <c r="I17" s="59" t="s">
        <v>55</v>
      </c>
      <c r="L17" s="28" t="s">
        <v>55</v>
      </c>
      <c r="M17" s="29" t="s">
        <v>56</v>
      </c>
      <c r="N17" s="29" t="s">
        <v>57</v>
      </c>
      <c r="O17" s="29" t="s">
        <v>58</v>
      </c>
      <c r="P17" s="63">
        <v>1.5</v>
      </c>
    </row>
    <row r="18" spans="2:16" ht="14.4" thickBot="1" x14ac:dyDescent="0.3">
      <c r="B18" s="64"/>
      <c r="C18" s="65"/>
      <c r="D18" s="26">
        <f>MAX(L18:P18)</f>
        <v>6</v>
      </c>
      <c r="E18" s="51" t="s">
        <v>25</v>
      </c>
      <c r="F18" s="60">
        <f>HLOOKUP(F17,$L$17:$P$18,2,FALSE)</f>
        <v>1.5</v>
      </c>
      <c r="G18" s="60">
        <f>HLOOKUP(G17,$L$17:$P$18,2,FALSE)</f>
        <v>3</v>
      </c>
      <c r="H18" s="60">
        <f>HLOOKUP(H17,$L$17:$P$18,2,FALSE)</f>
        <v>0</v>
      </c>
      <c r="I18" s="60">
        <f>HLOOKUP(I17,$L$17:$P$18,2,FALSE)</f>
        <v>6</v>
      </c>
      <c r="L18" s="30">
        <v>6</v>
      </c>
      <c r="M18" s="31">
        <v>4.5</v>
      </c>
      <c r="N18" s="31">
        <v>3</v>
      </c>
      <c r="O18" s="11">
        <v>1.5</v>
      </c>
      <c r="P18" s="1">
        <v>0</v>
      </c>
    </row>
    <row r="19" spans="2:16" ht="30" customHeight="1" thickBot="1" x14ac:dyDescent="0.3">
      <c r="B19" s="64"/>
      <c r="C19" s="65"/>
      <c r="D19" s="25"/>
      <c r="E19" s="52" t="s">
        <v>27</v>
      </c>
      <c r="F19" s="61" t="s">
        <v>29</v>
      </c>
      <c r="G19" s="61" t="s">
        <v>29</v>
      </c>
      <c r="H19" s="61" t="s">
        <v>28</v>
      </c>
      <c r="I19" s="61" t="s">
        <v>30</v>
      </c>
      <c r="L19" s="28" t="s">
        <v>28</v>
      </c>
      <c r="M19" s="29" t="s">
        <v>29</v>
      </c>
      <c r="N19" s="29" t="s">
        <v>30</v>
      </c>
      <c r="O19" s="29"/>
      <c r="P19" s="29"/>
    </row>
    <row r="20" spans="2:16" ht="14.4" thickBot="1" x14ac:dyDescent="0.3">
      <c r="B20" s="64"/>
      <c r="C20" s="65"/>
      <c r="D20" s="26">
        <f>MAX(L20:P20)</f>
        <v>4</v>
      </c>
      <c r="E20" s="51" t="s">
        <v>25</v>
      </c>
      <c r="F20" s="60">
        <f>HLOOKUP(F19,$L$19:$P$20,2,FALSE)</f>
        <v>2</v>
      </c>
      <c r="G20" s="60">
        <f t="shared" ref="G20:I20" si="3">HLOOKUP(G19,$L$19:$P$20,2,FALSE)</f>
        <v>2</v>
      </c>
      <c r="H20" s="60">
        <f t="shared" si="3"/>
        <v>4</v>
      </c>
      <c r="I20" s="60">
        <f t="shared" si="3"/>
        <v>0</v>
      </c>
      <c r="L20" s="30">
        <v>4</v>
      </c>
      <c r="M20" s="31">
        <v>2</v>
      </c>
      <c r="N20" s="31">
        <v>0</v>
      </c>
      <c r="O20" s="11"/>
    </row>
    <row r="21" spans="2:16" ht="30" customHeight="1" thickBot="1" x14ac:dyDescent="0.3">
      <c r="B21" s="64"/>
      <c r="C21" s="65"/>
      <c r="D21" s="25"/>
      <c r="E21" s="53" t="s">
        <v>54</v>
      </c>
      <c r="F21" s="61" t="s">
        <v>32</v>
      </c>
      <c r="G21" s="61" t="s">
        <v>32</v>
      </c>
      <c r="H21" s="61" t="s">
        <v>33</v>
      </c>
      <c r="I21" s="61" t="s">
        <v>31</v>
      </c>
      <c r="L21" s="28" t="s">
        <v>31</v>
      </c>
      <c r="M21" s="29" t="s">
        <v>32</v>
      </c>
      <c r="N21" s="29" t="s">
        <v>33</v>
      </c>
      <c r="O21" s="29"/>
      <c r="P21" s="29"/>
    </row>
    <row r="22" spans="2:16" ht="14.4" thickBot="1" x14ac:dyDescent="0.3">
      <c r="B22" s="64"/>
      <c r="C22" s="65"/>
      <c r="D22" s="26">
        <f>MAX(L22:P22)</f>
        <v>3</v>
      </c>
      <c r="E22" s="51" t="s">
        <v>25</v>
      </c>
      <c r="F22" s="60">
        <f>HLOOKUP(F21,$L21:$P22,2,FALSE)</f>
        <v>1</v>
      </c>
      <c r="G22" s="60">
        <f t="shared" ref="G22:I22" si="4">HLOOKUP(G21,$L$21:$P$22,2,FALSE)</f>
        <v>1</v>
      </c>
      <c r="H22" s="60">
        <f t="shared" si="4"/>
        <v>0</v>
      </c>
      <c r="I22" s="60">
        <f t="shared" si="4"/>
        <v>3</v>
      </c>
      <c r="L22" s="30">
        <v>3</v>
      </c>
      <c r="M22" s="31">
        <v>1</v>
      </c>
      <c r="N22" s="31">
        <v>0</v>
      </c>
      <c r="O22" s="32"/>
    </row>
    <row r="23" spans="2:16" ht="28.2" thickBot="1" x14ac:dyDescent="0.3">
      <c r="B23" s="64"/>
      <c r="C23" s="65"/>
      <c r="D23" s="25"/>
      <c r="E23" s="53" t="s">
        <v>34</v>
      </c>
      <c r="F23" s="57">
        <v>600</v>
      </c>
      <c r="G23" s="57">
        <v>300</v>
      </c>
      <c r="H23" s="57">
        <v>400</v>
      </c>
      <c r="I23" s="57">
        <v>0</v>
      </c>
      <c r="L23" s="14">
        <f>_xlfn.MINIFS(F23:I23,F23:I23,"&gt;0")</f>
        <v>300</v>
      </c>
      <c r="M23" s="15">
        <f>L23*1.5</f>
        <v>450</v>
      </c>
      <c r="N23" s="21">
        <f>O24/(L23-M23)</f>
        <v>-1.3333333333333334E-2</v>
      </c>
      <c r="O23" s="24" t="s">
        <v>36</v>
      </c>
      <c r="P23" s="22" t="s">
        <v>35</v>
      </c>
    </row>
    <row r="24" spans="2:16" ht="14.4" thickBot="1" x14ac:dyDescent="0.3">
      <c r="B24" s="64"/>
      <c r="C24" s="65"/>
      <c r="D24" s="26">
        <v>6</v>
      </c>
      <c r="E24" s="51" t="s">
        <v>25</v>
      </c>
      <c r="F24" s="60">
        <f>IF(F23=0,0,IF(F23=$L$23,$O$24+$P$24,IF(F23&gt;=$M$23,4,ROUND($O$24+$P$24+(F23-$L$23)*$N$23,0))))</f>
        <v>4</v>
      </c>
      <c r="G24" s="60">
        <f t="shared" ref="G24:I24" si="5">IF(G23=0,0,IF(G23=$L$23,$O$24+$P$24,IF(G23&gt;=$M$23,4,ROUND($O$24+$P$24+(G23-$L$23)*$N$23,0))))</f>
        <v>6</v>
      </c>
      <c r="H24" s="60">
        <f t="shared" si="5"/>
        <v>5</v>
      </c>
      <c r="I24" s="60">
        <f t="shared" si="5"/>
        <v>0</v>
      </c>
      <c r="O24" s="33">
        <v>2</v>
      </c>
      <c r="P24" s="23">
        <v>4</v>
      </c>
    </row>
    <row r="25" spans="2:16" ht="30" customHeight="1" thickBot="1" x14ac:dyDescent="0.3">
      <c r="B25" s="64"/>
      <c r="C25" s="65"/>
      <c r="D25" s="25"/>
      <c r="E25" s="53" t="s">
        <v>53</v>
      </c>
      <c r="F25" s="61" t="s">
        <v>37</v>
      </c>
      <c r="G25" s="61" t="s">
        <v>38</v>
      </c>
      <c r="H25" s="61" t="s">
        <v>38</v>
      </c>
      <c r="I25" s="61" t="s">
        <v>39</v>
      </c>
      <c r="L25" s="28" t="s">
        <v>37</v>
      </c>
      <c r="M25" s="29" t="s">
        <v>38</v>
      </c>
      <c r="N25" s="29" t="s">
        <v>39</v>
      </c>
      <c r="O25" s="29"/>
      <c r="P25" s="29"/>
    </row>
    <row r="26" spans="2:16" ht="14.4" thickBot="1" x14ac:dyDescent="0.3">
      <c r="B26" s="64"/>
      <c r="C26" s="65"/>
      <c r="D26" s="26">
        <v>6</v>
      </c>
      <c r="E26" s="51" t="s">
        <v>25</v>
      </c>
      <c r="F26" s="60">
        <f>HLOOKUP(F25,$L25:$P26,2,FALSE)</f>
        <v>6</v>
      </c>
      <c r="G26" s="60">
        <f t="shared" ref="G26:I26" si="6">HLOOKUP(G25,$L25:$P26,2,FALSE)</f>
        <v>3</v>
      </c>
      <c r="H26" s="60">
        <f t="shared" si="6"/>
        <v>3</v>
      </c>
      <c r="I26" s="60">
        <f t="shared" si="6"/>
        <v>0</v>
      </c>
      <c r="L26" s="30">
        <v>6</v>
      </c>
      <c r="M26" s="31">
        <v>3</v>
      </c>
      <c r="N26" s="31">
        <v>0</v>
      </c>
      <c r="O26" s="32"/>
    </row>
    <row r="27" spans="2:16" ht="30" customHeight="1" thickBot="1" x14ac:dyDescent="0.3">
      <c r="B27" s="64"/>
      <c r="C27" s="65"/>
      <c r="D27" s="25"/>
      <c r="E27" s="53" t="s">
        <v>42</v>
      </c>
      <c r="F27" s="61" t="s">
        <v>41</v>
      </c>
      <c r="G27" s="61" t="s">
        <v>40</v>
      </c>
      <c r="H27" s="61" t="s">
        <v>40</v>
      </c>
      <c r="I27" s="61" t="s">
        <v>41</v>
      </c>
      <c r="L27" s="28" t="s">
        <v>41</v>
      </c>
      <c r="M27" s="29" t="s">
        <v>40</v>
      </c>
      <c r="N27" s="29"/>
      <c r="O27" s="29"/>
      <c r="P27" s="29"/>
    </row>
    <row r="28" spans="2:16" ht="14.4" thickBot="1" x14ac:dyDescent="0.3">
      <c r="B28" s="64"/>
      <c r="C28" s="65"/>
      <c r="D28" s="26">
        <v>2</v>
      </c>
      <c r="E28" s="51" t="s">
        <v>25</v>
      </c>
      <c r="F28" s="60">
        <f>HLOOKUP(F27,$L27:$P28,2,FALSE)</f>
        <v>2</v>
      </c>
      <c r="G28" s="60">
        <f t="shared" ref="G28" si="7">HLOOKUP(G27,$L27:$P28,2,FALSE)</f>
        <v>0</v>
      </c>
      <c r="H28" s="60">
        <f t="shared" ref="H28" si="8">HLOOKUP(H27,$L27:$P28,2,FALSE)</f>
        <v>0</v>
      </c>
      <c r="I28" s="60">
        <f t="shared" ref="I28" si="9">HLOOKUP(I27,$L27:$P28,2,FALSE)</f>
        <v>2</v>
      </c>
      <c r="L28" s="30">
        <v>2</v>
      </c>
      <c r="M28" s="31">
        <v>0</v>
      </c>
      <c r="N28" s="31"/>
      <c r="O28" s="32"/>
    </row>
    <row r="29" spans="2:16" ht="30" customHeight="1" thickBot="1" x14ac:dyDescent="0.3">
      <c r="B29" s="64"/>
      <c r="C29" s="65"/>
      <c r="D29" s="25"/>
      <c r="E29" s="53" t="s">
        <v>43</v>
      </c>
      <c r="F29" s="61" t="s">
        <v>44</v>
      </c>
      <c r="G29" s="61" t="s">
        <v>47</v>
      </c>
      <c r="H29" s="61" t="s">
        <v>46</v>
      </c>
      <c r="I29" s="61" t="s">
        <v>45</v>
      </c>
      <c r="L29" s="28" t="s">
        <v>47</v>
      </c>
      <c r="M29" s="29" t="s">
        <v>44</v>
      </c>
      <c r="N29" s="29" t="s">
        <v>45</v>
      </c>
      <c r="O29" s="29" t="s">
        <v>46</v>
      </c>
      <c r="P29" s="29"/>
    </row>
    <row r="30" spans="2:16" ht="14.4" thickBot="1" x14ac:dyDescent="0.3">
      <c r="B30" s="64"/>
      <c r="C30" s="65"/>
      <c r="D30" s="26">
        <v>2</v>
      </c>
      <c r="E30" s="51" t="s">
        <v>25</v>
      </c>
      <c r="F30" s="60">
        <f>HLOOKUP(F29,$L29:$P30,2,FALSE)</f>
        <v>1</v>
      </c>
      <c r="G30" s="60">
        <f t="shared" ref="G30" si="10">HLOOKUP(G29,$L29:$P30,2,FALSE)</f>
        <v>2</v>
      </c>
      <c r="H30" s="60">
        <f t="shared" ref="H30" si="11">HLOOKUP(H29,$L29:$P30,2,FALSE)</f>
        <v>2</v>
      </c>
      <c r="I30" s="60">
        <f t="shared" ref="I30" si="12">HLOOKUP(I29,$L29:$P30,2,FALSE)</f>
        <v>0</v>
      </c>
      <c r="L30" s="30">
        <v>2</v>
      </c>
      <c r="M30" s="31">
        <v>1</v>
      </c>
      <c r="N30" s="31">
        <v>0</v>
      </c>
      <c r="O30" s="32">
        <v>2</v>
      </c>
    </row>
    <row r="31" spans="2:16" ht="30" customHeight="1" thickBot="1" x14ac:dyDescent="0.3">
      <c r="B31" s="64"/>
      <c r="C31" s="65"/>
      <c r="D31" s="25"/>
      <c r="E31" s="53" t="s">
        <v>48</v>
      </c>
      <c r="F31" s="61" t="s">
        <v>49</v>
      </c>
      <c r="G31" s="61" t="s">
        <v>50</v>
      </c>
      <c r="H31" s="61" t="s">
        <v>50</v>
      </c>
      <c r="I31" s="61" t="s">
        <v>49</v>
      </c>
      <c r="L31" s="28" t="s">
        <v>49</v>
      </c>
      <c r="M31" s="29" t="s">
        <v>50</v>
      </c>
      <c r="N31" s="29"/>
      <c r="O31" s="29"/>
      <c r="P31" s="29"/>
    </row>
    <row r="32" spans="2:16" ht="14.4" thickBot="1" x14ac:dyDescent="0.3">
      <c r="B32" s="64"/>
      <c r="C32" s="65"/>
      <c r="D32" s="26">
        <v>1</v>
      </c>
      <c r="E32" s="51" t="s">
        <v>25</v>
      </c>
      <c r="F32" s="60">
        <f>HLOOKUP(F31,$L31:$P32,2,FALSE)</f>
        <v>1</v>
      </c>
      <c r="G32" s="60">
        <f t="shared" ref="G32" si="13">HLOOKUP(G31,$L31:$P32,2,FALSE)</f>
        <v>0</v>
      </c>
      <c r="H32" s="60">
        <f t="shared" ref="H32" si="14">HLOOKUP(H31,$L31:$P32,2,FALSE)</f>
        <v>0</v>
      </c>
      <c r="I32" s="60">
        <f t="shared" ref="I32" si="15">HLOOKUP(I31,$L31:$P32,2,FALSE)</f>
        <v>1</v>
      </c>
      <c r="L32" s="30">
        <v>1</v>
      </c>
      <c r="M32" s="31">
        <v>0</v>
      </c>
      <c r="N32" s="31"/>
      <c r="O32" s="32"/>
    </row>
    <row r="33" spans="2:9" x14ac:dyDescent="0.25">
      <c r="B33" s="64"/>
      <c r="C33" s="65"/>
      <c r="D33" s="27">
        <f>SUM(D17:D32)</f>
        <v>30</v>
      </c>
      <c r="E33" s="54" t="s">
        <v>6</v>
      </c>
      <c r="F33" s="58">
        <f>F18+F20+F22+F24+F26+F28+F30+F32</f>
        <v>18.5</v>
      </c>
      <c r="G33" s="58">
        <f>G18+G20+G22+G24+G26+G28+G30+G32</f>
        <v>17</v>
      </c>
      <c r="H33" s="58">
        <f>H18+H20+H22+H24+H26+H28+H30+H32</f>
        <v>14</v>
      </c>
      <c r="I33" s="58">
        <f>I18+I20+I22+I24+I26+I28+I30+I32</f>
        <v>12</v>
      </c>
    </row>
    <row r="34" spans="2:9" x14ac:dyDescent="0.25">
      <c r="D34" s="38">
        <f>D14+D16+D33</f>
        <v>100</v>
      </c>
      <c r="E34" s="38" t="s">
        <v>51</v>
      </c>
      <c r="F34" s="62">
        <f>F14+F16+F33</f>
        <v>22.5</v>
      </c>
      <c r="G34" s="62">
        <f>G14+G16+G33</f>
        <v>74</v>
      </c>
      <c r="H34" s="62">
        <f>H14+H16+H33</f>
        <v>14</v>
      </c>
      <c r="I34" s="62">
        <f>I14+I16+I33</f>
        <v>82</v>
      </c>
    </row>
    <row r="35" spans="2:9" x14ac:dyDescent="0.25">
      <c r="D35" s="1"/>
      <c r="E35" s="1"/>
    </row>
    <row r="37" spans="2:9" x14ac:dyDescent="0.25">
      <c r="E37" s="1"/>
    </row>
    <row r="38" spans="2:9" ht="17.399999999999999" customHeight="1" x14ac:dyDescent="0.25">
      <c r="E38" s="1"/>
    </row>
    <row r="39" spans="2:9" ht="17.399999999999999" customHeight="1" x14ac:dyDescent="0.25">
      <c r="E39" s="1"/>
    </row>
    <row r="40" spans="2:9" ht="17.399999999999999" customHeight="1" x14ac:dyDescent="0.25">
      <c r="E40" s="1"/>
    </row>
    <row r="41" spans="2:9" ht="17.399999999999999" customHeight="1" x14ac:dyDescent="0.25">
      <c r="E41" s="1"/>
    </row>
    <row r="66" spans="6:19" x14ac:dyDescent="0.25">
      <c r="F66" s="17"/>
      <c r="G66" s="17"/>
      <c r="H66" s="17"/>
      <c r="I66" s="17"/>
    </row>
    <row r="69" spans="6:19" x14ac:dyDescent="0.25">
      <c r="L69" s="17"/>
      <c r="M69" s="17"/>
      <c r="N69" s="17"/>
      <c r="O69" s="17"/>
      <c r="P69" s="17"/>
      <c r="Q69" s="17"/>
    </row>
    <row r="71" spans="6:19" x14ac:dyDescent="0.25">
      <c r="J71" s="17"/>
      <c r="K71" s="17"/>
      <c r="R71" s="17"/>
      <c r="S71" s="17"/>
    </row>
  </sheetData>
  <sheetProtection sheet="1" selectLockedCells="1"/>
  <mergeCells count="11">
    <mergeCell ref="B17:B33"/>
    <mergeCell ref="C17:C33"/>
    <mergeCell ref="B2:I2"/>
    <mergeCell ref="E11:E12"/>
    <mergeCell ref="C11:D12"/>
    <mergeCell ref="B11:B12"/>
    <mergeCell ref="B13:B14"/>
    <mergeCell ref="B15:B16"/>
    <mergeCell ref="C13:C14"/>
    <mergeCell ref="C15:C16"/>
    <mergeCell ref="C4:D4"/>
  </mergeCells>
  <dataValidations count="6">
    <dataValidation type="list" allowBlank="1" showInputMessage="1" showErrorMessage="1" sqref="F17:I17" xr:uid="{00DC7105-E15E-4688-87C7-41EA5DF33309}">
      <formula1>$L$17:$P$17</formula1>
    </dataValidation>
    <dataValidation type="list" allowBlank="1" showInputMessage="1" showErrorMessage="1" sqref="F19:I19" xr:uid="{5062FBBA-6FC0-4D2A-88CE-95A34E787F2A}">
      <formula1>$L$19:$N$19</formula1>
    </dataValidation>
    <dataValidation type="list" allowBlank="1" showInputMessage="1" showErrorMessage="1" sqref="F21:I21 F25:I25" xr:uid="{E3921D37-9822-49F1-94D8-277AEB8E754A}">
      <formula1>$L21:$N21</formula1>
    </dataValidation>
    <dataValidation type="list" allowBlank="1" showInputMessage="1" showErrorMessage="1" sqref="F27:I27" xr:uid="{7D44331F-312E-4057-B8AC-4031EF0DC22B}">
      <formula1>$L$27:$M$27</formula1>
    </dataValidation>
    <dataValidation type="list" allowBlank="1" showInputMessage="1" showErrorMessage="1" sqref="F29:I29" xr:uid="{D8009E4E-792A-488D-B54B-BE70BAB33863}">
      <formula1>$L$29:$O$29</formula1>
    </dataValidation>
    <dataValidation type="list" allowBlank="1" showInputMessage="1" showErrorMessage="1" sqref="F31:I31" xr:uid="{6F58F188-8D68-43D9-A681-1EF27A8BEE12}">
      <formula1>$L$31:$M$31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Auswertung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Gross.Wolfgang</dc:creator>
  <cp:lastModifiedBy>Gross, Wolfgang</cp:lastModifiedBy>
  <dcterms:created xsi:type="dcterms:W3CDTF">2024-01-17T10:20:34Z</dcterms:created>
  <dcterms:modified xsi:type="dcterms:W3CDTF">2026-10-23T12:10:53Z</dcterms:modified>
</cp:coreProperties>
</file>